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 filterPrivacy="1"/>
  <bookViews>
    <workbookView xWindow="0" yWindow="0" windowWidth="22260" windowHeight="12645"/>
  </bookViews>
  <sheets>
    <sheet name="Pril 7 VO Osvetlenie Bratislava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8" i="1" l="1"/>
  <c r="V57" i="1"/>
  <c r="U42" i="1"/>
  <c r="T42" i="1"/>
  <c r="T56" i="1" s="1"/>
  <c r="S42" i="1"/>
  <c r="S56" i="1" s="1"/>
  <c r="R42" i="1"/>
  <c r="Q42" i="1"/>
  <c r="P42" i="1"/>
  <c r="O42" i="1"/>
  <c r="N42" i="1"/>
  <c r="N55" i="1" s="1"/>
  <c r="M42" i="1"/>
  <c r="M56" i="1" s="1"/>
  <c r="L42" i="1"/>
  <c r="K42" i="1"/>
  <c r="K56" i="1" s="1"/>
  <c r="J42" i="1"/>
  <c r="J55" i="1" s="1"/>
  <c r="I42" i="1"/>
  <c r="H42" i="1"/>
  <c r="G42" i="1"/>
  <c r="F42" i="1"/>
  <c r="F55" i="1" s="1"/>
  <c r="E42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D42" i="1"/>
  <c r="D56" i="1" s="1"/>
  <c r="D41" i="1"/>
  <c r="U56" i="1"/>
  <c r="R56" i="1"/>
  <c r="Q56" i="1"/>
  <c r="P56" i="1"/>
  <c r="O56" i="1"/>
  <c r="N56" i="1"/>
  <c r="L56" i="1"/>
  <c r="I56" i="1"/>
  <c r="H56" i="1"/>
  <c r="G56" i="1"/>
  <c r="E56" i="1"/>
  <c r="U55" i="1"/>
  <c r="S55" i="1"/>
  <c r="R55" i="1"/>
  <c r="Q55" i="1"/>
  <c r="O55" i="1"/>
  <c r="M55" i="1"/>
  <c r="K55" i="1"/>
  <c r="I55" i="1"/>
  <c r="G55" i="1"/>
  <c r="E55" i="1"/>
  <c r="D54" i="1"/>
  <c r="U53" i="1"/>
  <c r="D47" i="1"/>
  <c r="F46" i="1"/>
  <c r="E46" i="1"/>
  <c r="E54" i="1" s="1"/>
  <c r="D46" i="1"/>
  <c r="D86" i="1"/>
  <c r="D94" i="1" s="1"/>
  <c r="C72" i="1"/>
  <c r="F87" i="1"/>
  <c r="G87" i="1" s="1"/>
  <c r="H87" i="1" s="1"/>
  <c r="I87" i="1" s="1"/>
  <c r="J87" i="1" s="1"/>
  <c r="K87" i="1" s="1"/>
  <c r="L87" i="1" s="1"/>
  <c r="M87" i="1" s="1"/>
  <c r="N87" i="1" s="1"/>
  <c r="O87" i="1" s="1"/>
  <c r="P87" i="1" s="1"/>
  <c r="Q87" i="1" s="1"/>
  <c r="R87" i="1" s="1"/>
  <c r="S87" i="1" s="1"/>
  <c r="T87" i="1" s="1"/>
  <c r="U87" i="1" s="1"/>
  <c r="E87" i="1"/>
  <c r="D93" i="1"/>
  <c r="D26" i="1"/>
  <c r="D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U23" i="1"/>
  <c r="D17" i="1"/>
  <c r="D23" i="1" s="1"/>
  <c r="D87" i="1"/>
  <c r="D16" i="1"/>
  <c r="D24" i="1" s="1"/>
  <c r="T55" i="1" l="1"/>
  <c r="P55" i="1"/>
  <c r="L55" i="1"/>
  <c r="J56" i="1"/>
  <c r="H55" i="1"/>
  <c r="F56" i="1"/>
  <c r="D55" i="1"/>
  <c r="F54" i="1"/>
  <c r="G46" i="1"/>
  <c r="D53" i="1"/>
  <c r="D57" i="1" s="1"/>
  <c r="D58" i="1" s="1"/>
  <c r="D48" i="1"/>
  <c r="D49" i="1" s="1"/>
  <c r="E47" i="1"/>
  <c r="E86" i="1"/>
  <c r="F86" i="1" s="1"/>
  <c r="G86" i="1" s="1"/>
  <c r="H86" i="1" s="1"/>
  <c r="I86" i="1" s="1"/>
  <c r="J86" i="1" s="1"/>
  <c r="K86" i="1" s="1"/>
  <c r="L86" i="1" s="1"/>
  <c r="M86" i="1" s="1"/>
  <c r="N86" i="1" s="1"/>
  <c r="O86" i="1" s="1"/>
  <c r="P86" i="1" s="1"/>
  <c r="Q86" i="1" s="1"/>
  <c r="R86" i="1" s="1"/>
  <c r="S86" i="1" s="1"/>
  <c r="T86" i="1" s="1"/>
  <c r="U86" i="1" s="1"/>
  <c r="D27" i="1"/>
  <c r="D28" i="1" s="1"/>
  <c r="E17" i="1"/>
  <c r="D18" i="1"/>
  <c r="E16" i="1"/>
  <c r="R95" i="1"/>
  <c r="R96" i="1"/>
  <c r="D82" i="1"/>
  <c r="D96" i="1" s="1"/>
  <c r="D19" i="1"/>
  <c r="D80" i="1"/>
  <c r="D95" i="1" s="1"/>
  <c r="F82" i="1"/>
  <c r="F96" i="1" s="1"/>
  <c r="G82" i="1"/>
  <c r="G96" i="1" s="1"/>
  <c r="H82" i="1"/>
  <c r="H96" i="1" s="1"/>
  <c r="I82" i="1"/>
  <c r="I96" i="1" s="1"/>
  <c r="J82" i="1"/>
  <c r="J96" i="1" s="1"/>
  <c r="K82" i="1"/>
  <c r="K96" i="1" s="1"/>
  <c r="L82" i="1"/>
  <c r="L96" i="1" s="1"/>
  <c r="M82" i="1"/>
  <c r="M96" i="1" s="1"/>
  <c r="N82" i="1"/>
  <c r="N96" i="1" s="1"/>
  <c r="O82" i="1"/>
  <c r="O96" i="1" s="1"/>
  <c r="P82" i="1"/>
  <c r="P96" i="1" s="1"/>
  <c r="Q82" i="1"/>
  <c r="Q96" i="1" s="1"/>
  <c r="R82" i="1"/>
  <c r="S82" i="1"/>
  <c r="S96" i="1" s="1"/>
  <c r="T82" i="1"/>
  <c r="T96" i="1" s="1"/>
  <c r="U82" i="1"/>
  <c r="U96" i="1" s="1"/>
  <c r="E82" i="1"/>
  <c r="E96" i="1" s="1"/>
  <c r="F80" i="1"/>
  <c r="F95" i="1" s="1"/>
  <c r="G80" i="1"/>
  <c r="G95" i="1" s="1"/>
  <c r="H80" i="1"/>
  <c r="H95" i="1" s="1"/>
  <c r="I80" i="1"/>
  <c r="J80" i="1"/>
  <c r="J95" i="1" s="1"/>
  <c r="K80" i="1"/>
  <c r="K95" i="1" s="1"/>
  <c r="L80" i="1"/>
  <c r="L95" i="1" s="1"/>
  <c r="M80" i="1"/>
  <c r="N80" i="1"/>
  <c r="N95" i="1" s="1"/>
  <c r="O80" i="1"/>
  <c r="O95" i="1" s="1"/>
  <c r="P80" i="1"/>
  <c r="P95" i="1" s="1"/>
  <c r="Q80" i="1"/>
  <c r="R80" i="1"/>
  <c r="S80" i="1"/>
  <c r="S95" i="1" s="1"/>
  <c r="T80" i="1"/>
  <c r="T95" i="1" s="1"/>
  <c r="U80" i="1"/>
  <c r="E80" i="1"/>
  <c r="G54" i="1" l="1"/>
  <c r="H46" i="1"/>
  <c r="E53" i="1"/>
  <c r="E57" i="1" s="1"/>
  <c r="E58" i="1" s="1"/>
  <c r="E48" i="1"/>
  <c r="E49" i="1" s="1"/>
  <c r="F47" i="1"/>
  <c r="F17" i="1"/>
  <c r="E23" i="1"/>
  <c r="E27" i="1" s="1"/>
  <c r="E28" i="1" s="1"/>
  <c r="E18" i="1"/>
  <c r="E19" i="1" s="1"/>
  <c r="F16" i="1"/>
  <c r="E24" i="1"/>
  <c r="U95" i="1"/>
  <c r="Q95" i="1"/>
  <c r="M95" i="1"/>
  <c r="I95" i="1"/>
  <c r="D88" i="1"/>
  <c r="D89" i="1" s="1"/>
  <c r="E95" i="1"/>
  <c r="E93" i="1"/>
  <c r="E94" i="1"/>
  <c r="H54" i="1" l="1"/>
  <c r="I46" i="1"/>
  <c r="F53" i="1"/>
  <c r="F57" i="1" s="1"/>
  <c r="F58" i="1" s="1"/>
  <c r="F48" i="1"/>
  <c r="F49" i="1" s="1"/>
  <c r="G47" i="1"/>
  <c r="F23" i="1"/>
  <c r="F27" i="1" s="1"/>
  <c r="F28" i="1" s="1"/>
  <c r="G17" i="1"/>
  <c r="F18" i="1"/>
  <c r="F19" i="1" s="1"/>
  <c r="G16" i="1"/>
  <c r="F24" i="1"/>
  <c r="D97" i="1"/>
  <c r="E97" i="1"/>
  <c r="E88" i="1"/>
  <c r="E89" i="1" s="1"/>
  <c r="I54" i="1" l="1"/>
  <c r="J46" i="1"/>
  <c r="G53" i="1"/>
  <c r="G57" i="1" s="1"/>
  <c r="G58" i="1" s="1"/>
  <c r="G48" i="1"/>
  <c r="G49" i="1" s="1"/>
  <c r="H47" i="1"/>
  <c r="H17" i="1"/>
  <c r="G23" i="1"/>
  <c r="G18" i="1"/>
  <c r="G19" i="1" s="1"/>
  <c r="H16" i="1"/>
  <c r="G24" i="1"/>
  <c r="F93" i="1"/>
  <c r="F94" i="1"/>
  <c r="F88" i="1"/>
  <c r="F89" i="1" s="1"/>
  <c r="J54" i="1" l="1"/>
  <c r="K46" i="1"/>
  <c r="H53" i="1"/>
  <c r="H57" i="1" s="1"/>
  <c r="H58" i="1" s="1"/>
  <c r="H48" i="1"/>
  <c r="H49" i="1" s="1"/>
  <c r="I47" i="1"/>
  <c r="G27" i="1"/>
  <c r="G28" i="1" s="1"/>
  <c r="I16" i="1"/>
  <c r="H24" i="1"/>
  <c r="I17" i="1"/>
  <c r="H23" i="1"/>
  <c r="H18" i="1"/>
  <c r="H19" i="1" s="1"/>
  <c r="F97" i="1"/>
  <c r="G93" i="1"/>
  <c r="G94" i="1"/>
  <c r="G88" i="1"/>
  <c r="G89" i="1" s="1"/>
  <c r="K54" i="1" l="1"/>
  <c r="L46" i="1"/>
  <c r="I53" i="1"/>
  <c r="I57" i="1" s="1"/>
  <c r="I58" i="1" s="1"/>
  <c r="I48" i="1"/>
  <c r="I49" i="1" s="1"/>
  <c r="J47" i="1"/>
  <c r="J17" i="1"/>
  <c r="I23" i="1"/>
  <c r="I18" i="1"/>
  <c r="I19" i="1" s="1"/>
  <c r="J16" i="1"/>
  <c r="I24" i="1"/>
  <c r="H27" i="1"/>
  <c r="H28" i="1" s="1"/>
  <c r="G97" i="1"/>
  <c r="H93" i="1"/>
  <c r="H94" i="1"/>
  <c r="H88" i="1"/>
  <c r="H89" i="1" s="1"/>
  <c r="M46" i="1" l="1"/>
  <c r="L54" i="1"/>
  <c r="J48" i="1"/>
  <c r="J49" i="1" s="1"/>
  <c r="K47" i="1"/>
  <c r="J53" i="1"/>
  <c r="J57" i="1" s="1"/>
  <c r="J58" i="1" s="1"/>
  <c r="H97" i="1"/>
  <c r="K16" i="1"/>
  <c r="J24" i="1"/>
  <c r="I27" i="1"/>
  <c r="I28" i="1" s="1"/>
  <c r="K17" i="1"/>
  <c r="J23" i="1"/>
  <c r="J27" i="1" s="1"/>
  <c r="J28" i="1" s="1"/>
  <c r="J18" i="1"/>
  <c r="J19" i="1" s="1"/>
  <c r="I93" i="1"/>
  <c r="I94" i="1"/>
  <c r="I88" i="1"/>
  <c r="I89" i="1" s="1"/>
  <c r="M54" i="1" l="1"/>
  <c r="N46" i="1"/>
  <c r="K48" i="1"/>
  <c r="K49" i="1" s="1"/>
  <c r="L47" i="1"/>
  <c r="K53" i="1"/>
  <c r="K57" i="1" s="1"/>
  <c r="K58" i="1" s="1"/>
  <c r="L17" i="1"/>
  <c r="K23" i="1"/>
  <c r="K18" i="1"/>
  <c r="K19" i="1" s="1"/>
  <c r="I97" i="1"/>
  <c r="L16" i="1"/>
  <c r="K24" i="1"/>
  <c r="J93" i="1"/>
  <c r="J94" i="1"/>
  <c r="J88" i="1"/>
  <c r="J89" i="1" s="1"/>
  <c r="N54" i="1" l="1"/>
  <c r="O46" i="1"/>
  <c r="L53" i="1"/>
  <c r="L57" i="1" s="1"/>
  <c r="L58" i="1" s="1"/>
  <c r="L48" i="1"/>
  <c r="L49" i="1" s="1"/>
  <c r="M47" i="1"/>
  <c r="K27" i="1"/>
  <c r="K28" i="1" s="1"/>
  <c r="J97" i="1"/>
  <c r="M16" i="1"/>
  <c r="L24" i="1"/>
  <c r="M17" i="1"/>
  <c r="L23" i="1"/>
  <c r="L18" i="1"/>
  <c r="L19" i="1" s="1"/>
  <c r="K93" i="1"/>
  <c r="K94" i="1"/>
  <c r="K88" i="1"/>
  <c r="K89" i="1" s="1"/>
  <c r="O54" i="1" l="1"/>
  <c r="P46" i="1"/>
  <c r="M53" i="1"/>
  <c r="M57" i="1" s="1"/>
  <c r="M58" i="1" s="1"/>
  <c r="M48" i="1"/>
  <c r="M49" i="1" s="1"/>
  <c r="N47" i="1"/>
  <c r="N16" i="1"/>
  <c r="M24" i="1"/>
  <c r="L27" i="1"/>
  <c r="L28" i="1" s="1"/>
  <c r="N17" i="1"/>
  <c r="M23" i="1"/>
  <c r="M27" i="1" s="1"/>
  <c r="M28" i="1" s="1"/>
  <c r="M18" i="1"/>
  <c r="M19" i="1" s="1"/>
  <c r="K97" i="1"/>
  <c r="L93" i="1"/>
  <c r="L94" i="1"/>
  <c r="L88" i="1"/>
  <c r="L89" i="1" s="1"/>
  <c r="Q46" i="1" l="1"/>
  <c r="P54" i="1"/>
  <c r="N53" i="1"/>
  <c r="N57" i="1" s="1"/>
  <c r="N58" i="1" s="1"/>
  <c r="N48" i="1"/>
  <c r="N49" i="1" s="1"/>
  <c r="O47" i="1"/>
  <c r="L97" i="1"/>
  <c r="O17" i="1"/>
  <c r="N23" i="1"/>
  <c r="N27" i="1" s="1"/>
  <c r="N28" i="1" s="1"/>
  <c r="N18" i="1"/>
  <c r="N19" i="1" s="1"/>
  <c r="O16" i="1"/>
  <c r="N24" i="1"/>
  <c r="M93" i="1"/>
  <c r="M94" i="1"/>
  <c r="M88" i="1"/>
  <c r="M89" i="1" s="1"/>
  <c r="O53" i="1" l="1"/>
  <c r="O57" i="1" s="1"/>
  <c r="O58" i="1" s="1"/>
  <c r="O48" i="1"/>
  <c r="O49" i="1" s="1"/>
  <c r="P47" i="1"/>
  <c r="Q54" i="1"/>
  <c r="R46" i="1"/>
  <c r="P17" i="1"/>
  <c r="O23" i="1"/>
  <c r="O18" i="1"/>
  <c r="O19" i="1" s="1"/>
  <c r="M97" i="1"/>
  <c r="P16" i="1"/>
  <c r="O24" i="1"/>
  <c r="N93" i="1"/>
  <c r="N94" i="1"/>
  <c r="N88" i="1"/>
  <c r="N89" i="1" s="1"/>
  <c r="P53" i="1" l="1"/>
  <c r="P57" i="1" s="1"/>
  <c r="P58" i="1" s="1"/>
  <c r="P48" i="1"/>
  <c r="P49" i="1" s="1"/>
  <c r="Q47" i="1"/>
  <c r="R54" i="1"/>
  <c r="S46" i="1"/>
  <c r="O27" i="1"/>
  <c r="O28" i="1" s="1"/>
  <c r="Q16" i="1"/>
  <c r="P24" i="1"/>
  <c r="Q17" i="1"/>
  <c r="P23" i="1"/>
  <c r="P27" i="1" s="1"/>
  <c r="P28" i="1" s="1"/>
  <c r="P18" i="1"/>
  <c r="P19" i="1" s="1"/>
  <c r="N97" i="1"/>
  <c r="O93" i="1"/>
  <c r="O94" i="1"/>
  <c r="O88" i="1"/>
  <c r="O89" i="1" s="1"/>
  <c r="S54" i="1" l="1"/>
  <c r="T46" i="1"/>
  <c r="Q53" i="1"/>
  <c r="Q57" i="1" s="1"/>
  <c r="Q58" i="1" s="1"/>
  <c r="Q48" i="1"/>
  <c r="Q49" i="1" s="1"/>
  <c r="R47" i="1"/>
  <c r="O97" i="1"/>
  <c r="R17" i="1"/>
  <c r="Q23" i="1"/>
  <c r="Q27" i="1" s="1"/>
  <c r="Q28" i="1" s="1"/>
  <c r="Q18" i="1"/>
  <c r="Q19" i="1" s="1"/>
  <c r="R16" i="1"/>
  <c r="Q24" i="1"/>
  <c r="P93" i="1"/>
  <c r="P94" i="1"/>
  <c r="P88" i="1"/>
  <c r="P89" i="1" s="1"/>
  <c r="U46" i="1" l="1"/>
  <c r="T54" i="1"/>
  <c r="R48" i="1"/>
  <c r="R49" i="1" s="1"/>
  <c r="S47" i="1"/>
  <c r="R53" i="1"/>
  <c r="R57" i="1" s="1"/>
  <c r="R58" i="1" s="1"/>
  <c r="S16" i="1"/>
  <c r="R24" i="1"/>
  <c r="S17" i="1"/>
  <c r="R23" i="1"/>
  <c r="R27" i="1" s="1"/>
  <c r="R28" i="1" s="1"/>
  <c r="R18" i="1"/>
  <c r="R19" i="1" s="1"/>
  <c r="P97" i="1"/>
  <c r="Q93" i="1"/>
  <c r="Q94" i="1"/>
  <c r="Q88" i="1"/>
  <c r="Q89" i="1" s="1"/>
  <c r="S53" i="1" l="1"/>
  <c r="S57" i="1" s="1"/>
  <c r="S58" i="1" s="1"/>
  <c r="S48" i="1"/>
  <c r="S49" i="1" s="1"/>
  <c r="T47" i="1"/>
  <c r="U48" i="1"/>
  <c r="U49" i="1" s="1"/>
  <c r="U54" i="1"/>
  <c r="U57" i="1" s="1"/>
  <c r="U58" i="1" s="1"/>
  <c r="T17" i="1"/>
  <c r="S23" i="1"/>
  <c r="S18" i="1"/>
  <c r="S19" i="1" s="1"/>
  <c r="Q97" i="1"/>
  <c r="T16" i="1"/>
  <c r="S24" i="1"/>
  <c r="R93" i="1"/>
  <c r="R94" i="1"/>
  <c r="R88" i="1"/>
  <c r="R89" i="1" s="1"/>
  <c r="T53" i="1" l="1"/>
  <c r="T57" i="1" s="1"/>
  <c r="T58" i="1" s="1"/>
  <c r="T48" i="1"/>
  <c r="T49" i="1" s="1"/>
  <c r="S27" i="1"/>
  <c r="S28" i="1" s="1"/>
  <c r="R97" i="1"/>
  <c r="U16" i="1"/>
  <c r="T24" i="1"/>
  <c r="T23" i="1"/>
  <c r="T18" i="1"/>
  <c r="T19" i="1" s="1"/>
  <c r="S93" i="1"/>
  <c r="S94" i="1"/>
  <c r="S88" i="1"/>
  <c r="S89" i="1" s="1"/>
  <c r="U24" i="1" l="1"/>
  <c r="U27" i="1" s="1"/>
  <c r="U28" i="1" s="1"/>
  <c r="U18" i="1"/>
  <c r="U19" i="1" s="1"/>
  <c r="T27" i="1"/>
  <c r="T28" i="1" s="1"/>
  <c r="S97" i="1"/>
  <c r="U93" i="1"/>
  <c r="T93" i="1"/>
  <c r="T94" i="1"/>
  <c r="T88" i="1"/>
  <c r="T89" i="1" s="1"/>
  <c r="T97" i="1" l="1"/>
  <c r="U94" i="1"/>
  <c r="U88" i="1"/>
  <c r="U89" i="1" s="1"/>
  <c r="U97" i="1" l="1"/>
  <c r="V97" i="1" s="1"/>
  <c r="V88" i="1"/>
  <c r="V89" i="1" s="1"/>
</calcChain>
</file>

<file path=xl/sharedStrings.xml><?xml version="1.0" encoding="utf-8"?>
<sst xmlns="http://schemas.openxmlformats.org/spreadsheetml/2006/main" count="204" uniqueCount="59">
  <si>
    <t>Cenová ponuka</t>
  </si>
  <si>
    <t>Cena zákazky za obdobie trvania kontraktu (20 rokov)</t>
  </si>
  <si>
    <t xml:space="preserve">Ročná cena za obnovu sústavy stožiarov (24 000 stožiarov v priebehu 20 rokov) </t>
  </si>
  <si>
    <t>Cena za prevádzku a údržbu jedného svetelného bodu na rok*</t>
  </si>
  <si>
    <t>Referenčný priemerný príkon osvetľovacej sústavy na 1 SB</t>
  </si>
  <si>
    <t>Aktuálny priemerný príkon osvetľovacej sústavy na 1 SB</t>
  </si>
  <si>
    <t xml:space="preserve">Parameter </t>
  </si>
  <si>
    <t>Referenčný počet svetelných bodov</t>
  </si>
  <si>
    <t>Aktuálny počet svetelných bodov</t>
  </si>
  <si>
    <t>Požadovaná doba svietenia verejného osvetlenia</t>
  </si>
  <si>
    <t>Inflácia (HICP)</t>
  </si>
  <si>
    <t>Trhová cena elektrickej energie (EUR/MWh)</t>
  </si>
  <si>
    <t>Cena za obnovu sústavy stožiarov</t>
  </si>
  <si>
    <t>Súťažný parameter</t>
  </si>
  <si>
    <t>Skratka parametra</t>
  </si>
  <si>
    <t>C_st</t>
  </si>
  <si>
    <t xml:space="preserve">FIX_sb
</t>
  </si>
  <si>
    <t xml:space="preserve">Merná jednotka </t>
  </si>
  <si>
    <t>N_ref.sb</t>
  </si>
  <si>
    <t>EUR</t>
  </si>
  <si>
    <t>W</t>
  </si>
  <si>
    <t>hodín</t>
  </si>
  <si>
    <t>%</t>
  </si>
  <si>
    <t>N_akt.sb</t>
  </si>
  <si>
    <t>P_ref.sb</t>
  </si>
  <si>
    <t>D</t>
  </si>
  <si>
    <t>INF</t>
  </si>
  <si>
    <t>C_ee</t>
  </si>
  <si>
    <t>Cena za prevádzku a údržbu jedného svetelného bodu na rok</t>
  </si>
  <si>
    <t xml:space="preserve">Odplata (ročná) </t>
  </si>
  <si>
    <t>Odplata (mesačná)</t>
  </si>
  <si>
    <t>Výpočet ceny zákazky po zohľadnení predpokladaných hodnôt parametrov</t>
  </si>
  <si>
    <t>Suma v EUR</t>
  </si>
  <si>
    <t>Cena výmeny jedného stožiara</t>
  </si>
  <si>
    <t>MW</t>
  </si>
  <si>
    <t>P_akt.sb</t>
  </si>
  <si>
    <t>Cena Riadnej údržby a Služobnej prevádzky</t>
  </si>
  <si>
    <t>Cena výmeny stožiarov podľa bodu 3.1.3. Zmluvy</t>
  </si>
  <si>
    <t xml:space="preserve">Cena modernizácie Sústavy verejného osvetlenia </t>
  </si>
  <si>
    <t xml:space="preserve">Cena energií </t>
  </si>
  <si>
    <t>Ročná odplata</t>
  </si>
  <si>
    <t>* modré pole vyplní uchádzač</t>
  </si>
  <si>
    <t>upravená jednotka na MW</t>
  </si>
  <si>
    <t xml:space="preserve">C_st * INF </t>
  </si>
  <si>
    <t xml:space="preserve">(P_ref.sb* N_ref.sb*D*C_ee) - (P_akt.sb* N_ref.sb*D*C_ee) </t>
  </si>
  <si>
    <t xml:space="preserve">P_akt.sb* Nakt.sb*D*C_ee </t>
  </si>
  <si>
    <t>P_akt.sb.r * N_act.sb.r*D_r*C_ee.r</t>
  </si>
  <si>
    <t xml:space="preserve">(P_ref.sb * N_ref.sb*D_r*C_ee.r) - (P_akt.sb.r * N_ref.sb*D_r*C_ee.r) </t>
  </si>
  <si>
    <t>Vzorce</t>
  </si>
  <si>
    <t>Mesačná odplata</t>
  </si>
  <si>
    <t xml:space="preserve">Kontrolný prepočet po zložkách </t>
  </si>
  <si>
    <t>Zložka celkovej ceny</t>
  </si>
  <si>
    <t xml:space="preserve">FIX-sb*N_akt.sb*INF </t>
  </si>
  <si>
    <t>TABUĽKA Z PRÍLOHY 7 SÚŤAŽNÝCH PODKLADOV ZVEREJNENÝCH 30.5.2017</t>
  </si>
  <si>
    <t>UPRAVENÁ TABUĽKA Z PRÍLOHY 7 SÚŤAŽNÝCH PODKLADOV ZVEREJNENÝCH 30.5.2017 správnosť nastavenia overená modelovaním predpokladanej ceny zákazky</t>
  </si>
  <si>
    <t>Predpokladaná cena zákazky</t>
  </si>
  <si>
    <r>
      <t>(FIX_sb</t>
    </r>
    <r>
      <rPr>
        <b/>
        <sz val="8"/>
        <color theme="1"/>
        <rFont val="Calibri"/>
        <family val="2"/>
        <charset val="238"/>
        <scheme val="minor"/>
      </rPr>
      <t>.r</t>
    </r>
    <r>
      <rPr>
        <b/>
        <sz val="10"/>
        <color theme="1"/>
        <rFont val="Calibri"/>
        <family val="2"/>
        <charset val="238"/>
        <scheme val="minor"/>
      </rPr>
      <t xml:space="preserve">*N_akt.sb.r*(1+INF_r)) </t>
    </r>
  </si>
  <si>
    <r>
      <t>C_st.r</t>
    </r>
    <r>
      <rPr>
        <b/>
        <sz val="10"/>
        <color theme="1"/>
        <rFont val="Calibri"/>
        <family val="2"/>
        <charset val="238"/>
        <scheme val="minor"/>
      </rPr>
      <t xml:space="preserve"> * (1+INF_r)</t>
    </r>
  </si>
  <si>
    <t>TABUĽKA Z PRÍLOHY 7 SÚŤAŽNÝCH PODKLADOV ZVEREJNENÝCH 30.5.2017 po odstránení problémov s použitím jednotky Watt vydelením hodnoty číslom 1 000 000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</si>
</sst>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left" vertical="center" wrapText="1" indent="1"/>
    </xf>
    <xf numFmtId="4" fontId="2" fillId="0" borderId="0" xfId="0" applyNumberFormat="1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4" fontId="4" fillId="0" borderId="0" xfId="0" applyNumberFormat="1" applyFont="1" applyAlignment="1">
      <alignment horizontal="left" vertical="center" wrapText="1" indent="1"/>
    </xf>
    <xf numFmtId="0" fontId="2" fillId="2" borderId="0" xfId="0" applyFont="1" applyFill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164" fontId="2" fillId="0" borderId="0" xfId="0" applyNumberFormat="1" applyFont="1" applyAlignment="1">
      <alignment horizontal="left" vertical="center" wrapText="1" indent="1"/>
    </xf>
    <xf numFmtId="164" fontId="2" fillId="3" borderId="1" xfId="1" applyNumberFormat="1" applyFont="1" applyFill="1" applyBorder="1" applyAlignment="1">
      <alignment horizontal="left" vertical="center" wrapText="1" indent="1"/>
    </xf>
    <xf numFmtId="0" fontId="4" fillId="7" borderId="1" xfId="0" applyFont="1" applyFill="1" applyBorder="1" applyAlignment="1">
      <alignment horizontal="left" vertical="center" wrapText="1" indent="1"/>
    </xf>
    <xf numFmtId="4" fontId="4" fillId="7" borderId="1" xfId="0" applyNumberFormat="1" applyFont="1" applyFill="1" applyBorder="1" applyAlignment="1">
      <alignment horizontal="left" vertical="center" wrapText="1" indent="1"/>
    </xf>
    <xf numFmtId="164" fontId="2" fillId="7" borderId="1" xfId="0" applyNumberFormat="1" applyFont="1" applyFill="1" applyBorder="1" applyAlignment="1">
      <alignment horizontal="left" vertical="center" wrapText="1" indent="1"/>
    </xf>
    <xf numFmtId="0" fontId="8" fillId="7" borderId="1" xfId="0" applyFont="1" applyFill="1" applyBorder="1" applyAlignment="1">
      <alignment horizontal="left" vertical="center" wrapText="1" indent="1"/>
    </xf>
    <xf numFmtId="0" fontId="2" fillId="8" borderId="0" xfId="0" applyFont="1" applyFill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left" vertical="center" wrapText="1" indent="1"/>
    </xf>
    <xf numFmtId="0" fontId="6" fillId="5" borderId="1" xfId="0" applyFont="1" applyFill="1" applyBorder="1" applyAlignment="1">
      <alignment horizontal="left" vertical="center" wrapText="1" indent="1"/>
    </xf>
    <xf numFmtId="4" fontId="6" fillId="0" borderId="1" xfId="0" applyNumberFormat="1" applyFont="1" applyBorder="1" applyAlignment="1">
      <alignment horizontal="left" vertical="center" wrapText="1" indent="1"/>
    </xf>
    <xf numFmtId="4" fontId="2" fillId="0" borderId="1" xfId="0" applyNumberFormat="1" applyFont="1" applyBorder="1" applyAlignment="1">
      <alignment horizontal="right" vertical="center" wrapText="1" indent="1"/>
    </xf>
    <xf numFmtId="4" fontId="4" fillId="0" borderId="1" xfId="0" applyNumberFormat="1" applyFont="1" applyBorder="1" applyAlignment="1">
      <alignment horizontal="left" vertical="center" wrapText="1" indent="1"/>
    </xf>
    <xf numFmtId="164" fontId="2" fillId="0" borderId="1" xfId="1" applyNumberFormat="1" applyFont="1" applyBorder="1" applyAlignment="1">
      <alignment horizontal="right" vertical="center" wrapText="1" indent="1"/>
    </xf>
    <xf numFmtId="164" fontId="2" fillId="0" borderId="1" xfId="0" applyNumberFormat="1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right" vertical="center" wrapText="1" indent="1"/>
    </xf>
    <xf numFmtId="164" fontId="2" fillId="0" borderId="1" xfId="1" applyNumberFormat="1" applyFont="1" applyBorder="1" applyAlignment="1">
      <alignment horizontal="left" vertical="center" wrapText="1" indent="1"/>
    </xf>
    <xf numFmtId="10" fontId="2" fillId="0" borderId="1" xfId="0" applyNumberFormat="1" applyFont="1" applyBorder="1" applyAlignment="1">
      <alignment horizontal="right" vertical="center" wrapText="1" indent="1"/>
    </xf>
    <xf numFmtId="4" fontId="3" fillId="0" borderId="1" xfId="0" applyNumberFormat="1" applyFont="1" applyBorder="1" applyAlignment="1">
      <alignment horizontal="right" vertical="center" wrapText="1" indent="1"/>
    </xf>
    <xf numFmtId="0" fontId="4" fillId="9" borderId="1" xfId="0" applyFont="1" applyFill="1" applyBorder="1" applyAlignment="1">
      <alignment horizontal="left" vertical="center" wrapText="1" indent="1"/>
    </xf>
    <xf numFmtId="0" fontId="8" fillId="9" borderId="1" xfId="0" applyFont="1" applyFill="1" applyBorder="1" applyAlignment="1">
      <alignment horizontal="left" vertical="center" wrapText="1" indent="1"/>
    </xf>
    <xf numFmtId="164" fontId="2" fillId="9" borderId="1" xfId="1" applyNumberFormat="1" applyFont="1" applyFill="1" applyBorder="1" applyAlignment="1">
      <alignment horizontal="left" vertical="center" wrapText="1" indent="1"/>
    </xf>
    <xf numFmtId="164" fontId="2" fillId="9" borderId="1" xfId="0" applyNumberFormat="1" applyFont="1" applyFill="1" applyBorder="1" applyAlignment="1">
      <alignment horizontal="left" vertical="center" wrapText="1" indent="1"/>
    </xf>
    <xf numFmtId="164" fontId="2" fillId="10" borderId="1" xfId="0" applyNumberFormat="1" applyFont="1" applyFill="1" applyBorder="1" applyAlignment="1">
      <alignment horizontal="right" vertical="center" wrapText="1" inden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43" fontId="2" fillId="10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 indent="1"/>
    </xf>
    <xf numFmtId="164" fontId="2" fillId="0" borderId="1" xfId="1" applyNumberFormat="1" applyFont="1" applyBorder="1" applyAlignment="1">
      <alignment horizontal="right" vertical="center" wrapText="1" indent="2"/>
    </xf>
    <xf numFmtId="0" fontId="2" fillId="4" borderId="1" xfId="0" applyFont="1" applyFill="1" applyBorder="1" applyAlignment="1">
      <alignment horizontal="right" vertical="center" wrapText="1" indent="1"/>
    </xf>
    <xf numFmtId="0" fontId="2" fillId="5" borderId="1" xfId="0" applyFont="1" applyFill="1" applyBorder="1" applyAlignment="1">
      <alignment horizontal="right" vertical="center" wrapText="1" inden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colors>
    <mruColors>
      <color rgb="FF66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7"/>
  <sheetViews>
    <sheetView tabSelected="1" topLeftCell="O76" workbookViewId="0">
      <selection activeCell="W82" sqref="W82"/>
    </sheetView>
  </sheetViews>
  <sheetFormatPr defaultRowHeight="12.75" x14ac:dyDescent="0.25"/>
  <cols>
    <col min="1" max="1" width="29.7109375" style="1" customWidth="1"/>
    <col min="2" max="2" width="12" style="1" customWidth="1"/>
    <col min="3" max="3" width="12.7109375" style="1" customWidth="1"/>
    <col min="4" max="21" width="19.5703125" style="1" customWidth="1"/>
    <col min="22" max="22" width="22" style="1" customWidth="1"/>
    <col min="23" max="16384" width="9.140625" style="1"/>
  </cols>
  <sheetData>
    <row r="1" spans="1:22" ht="38.25" customHeight="1" x14ac:dyDescent="0.25">
      <c r="A1" s="42" t="s">
        <v>53</v>
      </c>
      <c r="B1" s="42"/>
      <c r="C1" s="42"/>
    </row>
    <row r="2" spans="1:22" x14ac:dyDescent="0.25">
      <c r="A2" s="39" t="s">
        <v>0</v>
      </c>
      <c r="B2" s="39"/>
      <c r="C2" s="39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2" ht="25.5" x14ac:dyDescent="0.25">
      <c r="A3" s="8" t="s">
        <v>13</v>
      </c>
      <c r="B3" s="6" t="s">
        <v>14</v>
      </c>
      <c r="C3" s="8" t="s">
        <v>32</v>
      </c>
    </row>
    <row r="4" spans="1:22" ht="38.25" x14ac:dyDescent="0.25">
      <c r="A4" s="6" t="s">
        <v>2</v>
      </c>
      <c r="B4" s="6" t="s">
        <v>15</v>
      </c>
      <c r="C4" s="10">
        <v>600000</v>
      </c>
      <c r="E4" s="10"/>
      <c r="F4" s="1" t="s">
        <v>41</v>
      </c>
    </row>
    <row r="5" spans="1:22" ht="25.5" x14ac:dyDescent="0.25">
      <c r="A5" s="6" t="s">
        <v>3</v>
      </c>
      <c r="B5" s="6" t="s">
        <v>16</v>
      </c>
      <c r="C5" s="7">
        <v>74.633363299999999</v>
      </c>
    </row>
    <row r="6" spans="1:22" ht="25.5" x14ac:dyDescent="0.25">
      <c r="A6" s="8" t="s">
        <v>1</v>
      </c>
      <c r="B6" s="6"/>
      <c r="C6" s="6"/>
    </row>
    <row r="7" spans="1:22" ht="38.25" customHeight="1" x14ac:dyDescent="0.25">
      <c r="A7" s="39" t="s">
        <v>31</v>
      </c>
      <c r="B7" s="39"/>
      <c r="C7" s="3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2" ht="25.5" x14ac:dyDescent="0.25">
      <c r="A8" s="8" t="s">
        <v>6</v>
      </c>
      <c r="B8" s="8" t="s">
        <v>14</v>
      </c>
      <c r="C8" s="8" t="s">
        <v>17</v>
      </c>
      <c r="D8" s="16">
        <v>2018</v>
      </c>
      <c r="E8" s="16">
        <v>2019</v>
      </c>
      <c r="F8" s="16">
        <v>2020</v>
      </c>
      <c r="G8" s="16">
        <v>2021</v>
      </c>
      <c r="H8" s="16">
        <v>2022</v>
      </c>
      <c r="I8" s="16">
        <v>2023</v>
      </c>
      <c r="J8" s="16">
        <v>2024</v>
      </c>
      <c r="K8" s="16">
        <v>2025</v>
      </c>
      <c r="L8" s="16">
        <v>2026</v>
      </c>
      <c r="M8" s="16">
        <v>2027</v>
      </c>
      <c r="N8" s="16">
        <v>2028</v>
      </c>
      <c r="O8" s="16">
        <v>2029</v>
      </c>
      <c r="P8" s="16">
        <v>2030</v>
      </c>
      <c r="Q8" s="16">
        <v>2031</v>
      </c>
      <c r="R8" s="16">
        <v>2032</v>
      </c>
      <c r="S8" s="16">
        <v>2033</v>
      </c>
      <c r="T8" s="16">
        <v>2034</v>
      </c>
      <c r="U8" s="16">
        <v>2035</v>
      </c>
    </row>
    <row r="9" spans="1:22" ht="25.5" x14ac:dyDescent="0.25">
      <c r="A9" s="17" t="s">
        <v>7</v>
      </c>
      <c r="B9" s="17" t="s">
        <v>18</v>
      </c>
      <c r="C9" s="17" t="s">
        <v>19</v>
      </c>
      <c r="D9" s="23">
        <v>47694</v>
      </c>
      <c r="E9" s="23">
        <v>47694</v>
      </c>
      <c r="F9" s="23">
        <v>47694</v>
      </c>
      <c r="G9" s="23">
        <v>47694</v>
      </c>
      <c r="H9" s="23">
        <v>47694</v>
      </c>
      <c r="I9" s="23">
        <v>47694</v>
      </c>
      <c r="J9" s="23">
        <v>47694</v>
      </c>
      <c r="K9" s="23">
        <v>47694</v>
      </c>
      <c r="L9" s="23">
        <v>47694</v>
      </c>
      <c r="M9" s="23">
        <v>47694</v>
      </c>
      <c r="N9" s="23">
        <v>47694</v>
      </c>
      <c r="O9" s="23">
        <v>47694</v>
      </c>
      <c r="P9" s="23">
        <v>47694</v>
      </c>
      <c r="Q9" s="23">
        <v>47694</v>
      </c>
      <c r="R9" s="23">
        <v>47694</v>
      </c>
      <c r="S9" s="23">
        <v>47694</v>
      </c>
      <c r="T9" s="23">
        <v>47694</v>
      </c>
      <c r="U9" s="23">
        <v>47694</v>
      </c>
    </row>
    <row r="10" spans="1:22" x14ac:dyDescent="0.25">
      <c r="A10" s="17" t="s">
        <v>8</v>
      </c>
      <c r="B10" s="17" t="s">
        <v>23</v>
      </c>
      <c r="C10" s="17" t="s">
        <v>19</v>
      </c>
      <c r="D10" s="23">
        <v>47694</v>
      </c>
      <c r="E10" s="23">
        <v>47932</v>
      </c>
      <c r="F10" s="23">
        <v>48172</v>
      </c>
      <c r="G10" s="23">
        <v>48413</v>
      </c>
      <c r="H10" s="23">
        <v>48655</v>
      </c>
      <c r="I10" s="23">
        <v>48898</v>
      </c>
      <c r="J10" s="23">
        <v>49142</v>
      </c>
      <c r="K10" s="23">
        <v>49388</v>
      </c>
      <c r="L10" s="23">
        <v>49635</v>
      </c>
      <c r="M10" s="23">
        <v>49883</v>
      </c>
      <c r="N10" s="23">
        <v>50132</v>
      </c>
      <c r="O10" s="23">
        <v>50383</v>
      </c>
      <c r="P10" s="23">
        <v>50635</v>
      </c>
      <c r="Q10" s="23">
        <v>50888</v>
      </c>
      <c r="R10" s="23">
        <v>51142</v>
      </c>
      <c r="S10" s="23">
        <v>51398</v>
      </c>
      <c r="T10" s="23">
        <v>51655</v>
      </c>
      <c r="U10" s="23">
        <v>51913</v>
      </c>
    </row>
    <row r="11" spans="1:22" ht="25.5" x14ac:dyDescent="0.25">
      <c r="A11" s="17" t="s">
        <v>4</v>
      </c>
      <c r="B11" s="17" t="s">
        <v>24</v>
      </c>
      <c r="C11" s="17" t="s">
        <v>20</v>
      </c>
      <c r="D11" s="25">
        <v>108.83</v>
      </c>
      <c r="E11" s="25">
        <v>108.83</v>
      </c>
      <c r="F11" s="25">
        <v>108.83</v>
      </c>
      <c r="G11" s="25">
        <v>108.83</v>
      </c>
      <c r="H11" s="25">
        <v>108.83</v>
      </c>
      <c r="I11" s="25">
        <v>108.83</v>
      </c>
      <c r="J11" s="25">
        <v>108.83</v>
      </c>
      <c r="K11" s="25">
        <v>108.83</v>
      </c>
      <c r="L11" s="25">
        <v>108.83</v>
      </c>
      <c r="M11" s="25">
        <v>108.83</v>
      </c>
      <c r="N11" s="25">
        <v>108.83</v>
      </c>
      <c r="O11" s="25">
        <v>108.83</v>
      </c>
      <c r="P11" s="25">
        <v>108.83</v>
      </c>
      <c r="Q11" s="25">
        <v>108.83</v>
      </c>
      <c r="R11" s="25">
        <v>108.83</v>
      </c>
      <c r="S11" s="25">
        <v>108.83</v>
      </c>
      <c r="T11" s="25">
        <v>108.83</v>
      </c>
      <c r="U11" s="25">
        <v>108.83</v>
      </c>
    </row>
    <row r="12" spans="1:22" ht="25.5" x14ac:dyDescent="0.25">
      <c r="A12" s="17" t="s">
        <v>5</v>
      </c>
      <c r="B12" s="17" t="s">
        <v>35</v>
      </c>
      <c r="C12" s="17" t="s">
        <v>20</v>
      </c>
      <c r="D12" s="25">
        <v>108.83</v>
      </c>
      <c r="E12" s="25">
        <v>97.58</v>
      </c>
      <c r="F12" s="25">
        <v>86.89</v>
      </c>
      <c r="G12" s="25">
        <v>74.75</v>
      </c>
      <c r="H12" s="25">
        <v>60.18</v>
      </c>
      <c r="I12" s="25">
        <v>52.85</v>
      </c>
      <c r="J12" s="25">
        <v>51.93</v>
      </c>
      <c r="K12" s="25">
        <v>52.25</v>
      </c>
      <c r="L12" s="25">
        <v>52.56</v>
      </c>
      <c r="M12" s="25">
        <v>52.88</v>
      </c>
      <c r="N12" s="25">
        <v>53.19</v>
      </c>
      <c r="O12" s="25">
        <v>53.5</v>
      </c>
      <c r="P12" s="25">
        <v>53.81</v>
      </c>
      <c r="Q12" s="25">
        <v>54.12</v>
      </c>
      <c r="R12" s="25">
        <v>54.43</v>
      </c>
      <c r="S12" s="25">
        <v>54.73</v>
      </c>
      <c r="T12" s="25">
        <v>55.04</v>
      </c>
      <c r="U12" s="25">
        <v>53.34</v>
      </c>
    </row>
    <row r="13" spans="1:22" ht="25.5" x14ac:dyDescent="0.25">
      <c r="A13" s="17" t="s">
        <v>9</v>
      </c>
      <c r="B13" s="17" t="s">
        <v>25</v>
      </c>
      <c r="C13" s="17" t="s">
        <v>21</v>
      </c>
      <c r="D13" s="26">
        <v>4107</v>
      </c>
      <c r="E13" s="26">
        <v>4107</v>
      </c>
      <c r="F13" s="26">
        <v>4107</v>
      </c>
      <c r="G13" s="26">
        <v>4107</v>
      </c>
      <c r="H13" s="26">
        <v>4107</v>
      </c>
      <c r="I13" s="26">
        <v>4107</v>
      </c>
      <c r="J13" s="26">
        <v>4107</v>
      </c>
      <c r="K13" s="26">
        <v>4107</v>
      </c>
      <c r="L13" s="26">
        <v>4107</v>
      </c>
      <c r="M13" s="26">
        <v>4107</v>
      </c>
      <c r="N13" s="26">
        <v>4107</v>
      </c>
      <c r="O13" s="26">
        <v>4107</v>
      </c>
      <c r="P13" s="26">
        <v>4107</v>
      </c>
      <c r="Q13" s="26">
        <v>4107</v>
      </c>
      <c r="R13" s="26">
        <v>4107</v>
      </c>
      <c r="S13" s="26">
        <v>4107</v>
      </c>
      <c r="T13" s="26">
        <v>4107</v>
      </c>
      <c r="U13" s="26">
        <v>4107</v>
      </c>
    </row>
    <row r="14" spans="1:22" x14ac:dyDescent="0.25">
      <c r="A14" s="17" t="s">
        <v>10</v>
      </c>
      <c r="B14" s="17" t="s">
        <v>26</v>
      </c>
      <c r="C14" s="17" t="s">
        <v>22</v>
      </c>
      <c r="D14" s="27">
        <v>1.2999999999999999E-2</v>
      </c>
      <c r="E14" s="27">
        <v>1.7999999999999999E-2</v>
      </c>
      <c r="F14" s="27">
        <v>2.1000000000000001E-2</v>
      </c>
      <c r="G14" s="27">
        <v>2.1000000000000001E-2</v>
      </c>
      <c r="H14" s="27">
        <v>2.1000000000000001E-2</v>
      </c>
      <c r="I14" s="27">
        <v>2.1000000000000001E-2</v>
      </c>
      <c r="J14" s="27">
        <v>2.1000000000000001E-2</v>
      </c>
      <c r="K14" s="27">
        <v>2.1000000000000001E-2</v>
      </c>
      <c r="L14" s="27">
        <v>2.1000000000000001E-2</v>
      </c>
      <c r="M14" s="27">
        <v>2.1000000000000001E-2</v>
      </c>
      <c r="N14" s="27">
        <v>2.1000000000000001E-2</v>
      </c>
      <c r="O14" s="27">
        <v>2.1000000000000001E-2</v>
      </c>
      <c r="P14" s="27">
        <v>2.1000000000000001E-2</v>
      </c>
      <c r="Q14" s="27">
        <v>2.1000000000000001E-2</v>
      </c>
      <c r="R14" s="27">
        <v>2.1000000000000001E-2</v>
      </c>
      <c r="S14" s="27">
        <v>2.1000000000000001E-2</v>
      </c>
      <c r="T14" s="27">
        <v>2.1000000000000001E-2</v>
      </c>
      <c r="U14" s="27">
        <v>2.1000000000000001E-2</v>
      </c>
    </row>
    <row r="15" spans="1:22" s="2" customFormat="1" ht="25.5" x14ac:dyDescent="0.25">
      <c r="A15" s="20" t="s">
        <v>11</v>
      </c>
      <c r="B15" s="20" t="s">
        <v>27</v>
      </c>
      <c r="C15" s="20" t="s">
        <v>19</v>
      </c>
      <c r="D15" s="21">
        <v>104.92</v>
      </c>
      <c r="E15" s="28">
        <v>106.8</v>
      </c>
      <c r="F15" s="28">
        <v>109.05</v>
      </c>
      <c r="G15" s="21">
        <v>111.34</v>
      </c>
      <c r="H15" s="21">
        <v>113.68</v>
      </c>
      <c r="I15" s="28">
        <v>116.06</v>
      </c>
      <c r="J15" s="21">
        <v>118.5</v>
      </c>
      <c r="K15" s="21">
        <v>120.99</v>
      </c>
      <c r="L15" s="21">
        <v>123.53</v>
      </c>
      <c r="M15" s="21">
        <v>126.12</v>
      </c>
      <c r="N15" s="21">
        <v>128.77000000000001</v>
      </c>
      <c r="O15" s="28">
        <v>131.47999999999999</v>
      </c>
      <c r="P15" s="21">
        <v>134.24</v>
      </c>
      <c r="Q15" s="21">
        <v>137.06</v>
      </c>
      <c r="R15" s="28">
        <v>139.96</v>
      </c>
      <c r="S15" s="28">
        <v>142.87</v>
      </c>
      <c r="T15" s="21">
        <v>145.87</v>
      </c>
      <c r="U15" s="28">
        <v>148.94</v>
      </c>
    </row>
    <row r="16" spans="1:22" x14ac:dyDescent="0.25">
      <c r="A16" s="17" t="s">
        <v>12</v>
      </c>
      <c r="B16" s="17" t="s">
        <v>15</v>
      </c>
      <c r="C16" s="20" t="s">
        <v>19</v>
      </c>
      <c r="D16" s="23">
        <f>C4</f>
        <v>600000</v>
      </c>
      <c r="E16" s="23">
        <f>D16</f>
        <v>600000</v>
      </c>
      <c r="F16" s="23">
        <f t="shared" ref="F16:U16" si="0">E16</f>
        <v>600000</v>
      </c>
      <c r="G16" s="23">
        <f t="shared" si="0"/>
        <v>600000</v>
      </c>
      <c r="H16" s="23">
        <f t="shared" si="0"/>
        <v>600000</v>
      </c>
      <c r="I16" s="23">
        <f t="shared" si="0"/>
        <v>600000</v>
      </c>
      <c r="J16" s="23">
        <f t="shared" si="0"/>
        <v>600000</v>
      </c>
      <c r="K16" s="23">
        <f t="shared" si="0"/>
        <v>600000</v>
      </c>
      <c r="L16" s="23">
        <f t="shared" si="0"/>
        <v>600000</v>
      </c>
      <c r="M16" s="23">
        <f t="shared" si="0"/>
        <v>600000</v>
      </c>
      <c r="N16" s="23">
        <f t="shared" si="0"/>
        <v>600000</v>
      </c>
      <c r="O16" s="23">
        <f t="shared" si="0"/>
        <v>600000</v>
      </c>
      <c r="P16" s="23">
        <f t="shared" si="0"/>
        <v>600000</v>
      </c>
      <c r="Q16" s="23">
        <f t="shared" si="0"/>
        <v>600000</v>
      </c>
      <c r="R16" s="23">
        <f t="shared" si="0"/>
        <v>600000</v>
      </c>
      <c r="S16" s="23">
        <f t="shared" si="0"/>
        <v>600000</v>
      </c>
      <c r="T16" s="23">
        <f t="shared" si="0"/>
        <v>600000</v>
      </c>
      <c r="U16" s="23">
        <f t="shared" si="0"/>
        <v>600000</v>
      </c>
      <c r="V16" s="36" t="s">
        <v>55</v>
      </c>
    </row>
    <row r="17" spans="1:22" ht="25.5" x14ac:dyDescent="0.25">
      <c r="A17" s="17" t="s">
        <v>28</v>
      </c>
      <c r="B17" s="17" t="s">
        <v>16</v>
      </c>
      <c r="C17" s="20" t="s">
        <v>19</v>
      </c>
      <c r="D17" s="23">
        <f>C5</f>
        <v>74.633363299999999</v>
      </c>
      <c r="E17" s="23">
        <f>D17</f>
        <v>74.633363299999999</v>
      </c>
      <c r="F17" s="23">
        <f t="shared" ref="F17:T17" si="1">E17</f>
        <v>74.633363299999999</v>
      </c>
      <c r="G17" s="23">
        <f t="shared" si="1"/>
        <v>74.633363299999999</v>
      </c>
      <c r="H17" s="23">
        <f t="shared" si="1"/>
        <v>74.633363299999999</v>
      </c>
      <c r="I17" s="23">
        <f t="shared" si="1"/>
        <v>74.633363299999999</v>
      </c>
      <c r="J17" s="23">
        <f t="shared" si="1"/>
        <v>74.633363299999999</v>
      </c>
      <c r="K17" s="23">
        <f t="shared" si="1"/>
        <v>74.633363299999999</v>
      </c>
      <c r="L17" s="23">
        <f t="shared" si="1"/>
        <v>74.633363299999999</v>
      </c>
      <c r="M17" s="23">
        <f t="shared" si="1"/>
        <v>74.633363299999999</v>
      </c>
      <c r="N17" s="23">
        <f t="shared" si="1"/>
        <v>74.633363299999999</v>
      </c>
      <c r="O17" s="23">
        <f t="shared" si="1"/>
        <v>74.633363299999999</v>
      </c>
      <c r="P17" s="23">
        <f t="shared" si="1"/>
        <v>74.633363299999999</v>
      </c>
      <c r="Q17" s="23">
        <f t="shared" si="1"/>
        <v>74.633363299999999</v>
      </c>
      <c r="R17" s="23">
        <f t="shared" si="1"/>
        <v>74.633363299999999</v>
      </c>
      <c r="S17" s="23">
        <f t="shared" si="1"/>
        <v>74.633363299999999</v>
      </c>
      <c r="T17" s="23">
        <f t="shared" si="1"/>
        <v>74.633363299999999</v>
      </c>
      <c r="U17" s="23">
        <v>100</v>
      </c>
      <c r="V17" s="36"/>
    </row>
    <row r="18" spans="1:22" x14ac:dyDescent="0.25">
      <c r="A18" s="8" t="s">
        <v>29</v>
      </c>
      <c r="B18" s="8"/>
      <c r="C18" s="22" t="s">
        <v>19</v>
      </c>
      <c r="D18" s="26">
        <f>(D17*D10*D14)+(D16*D14)+((D11*D9*D13*D15)-(D12*D9*D13*D15))+(D12*D10*D13*D15)</f>
        <v>2236636313957.1758</v>
      </c>
      <c r="E18" s="26">
        <f t="shared" ref="E18:U18" si="2">E17*E10*E14+E16*E14+(E11*E9*E13*E15-E12*E9*E13*E15)+E12*E10*E13*E15</f>
        <v>2286900014540.7305</v>
      </c>
      <c r="F18" s="26">
        <f t="shared" si="2"/>
        <v>2343279291014.9302</v>
      </c>
      <c r="G18" s="26">
        <f t="shared" si="2"/>
        <v>2398071225028.0781</v>
      </c>
      <c r="H18" s="26">
        <f t="shared" si="2"/>
        <v>2450379275211.9722</v>
      </c>
      <c r="I18" s="26">
        <f t="shared" si="2"/>
        <v>2504444183387.3828</v>
      </c>
      <c r="J18" s="26">
        <f t="shared" si="2"/>
        <v>2562724227722.7573</v>
      </c>
      <c r="K18" s="26">
        <f t="shared" si="2"/>
        <v>2623191101257.4971</v>
      </c>
      <c r="L18" s="26">
        <f t="shared" si="2"/>
        <v>2685113828670.6826</v>
      </c>
      <c r="M18" s="26">
        <f t="shared" si="2"/>
        <v>2748526016586.3828</v>
      </c>
      <c r="N18" s="26">
        <f t="shared" si="2"/>
        <v>2813640557451.7788</v>
      </c>
      <c r="O18" s="26">
        <f t="shared" si="2"/>
        <v>2880513739954.8945</v>
      </c>
      <c r="P18" s="26">
        <f t="shared" si="2"/>
        <v>2948916459082.9536</v>
      </c>
      <c r="Q18" s="26">
        <f t="shared" si="2"/>
        <v>3019085502140.1606</v>
      </c>
      <c r="R18" s="26">
        <f t="shared" si="2"/>
        <v>3091481275225.9038</v>
      </c>
      <c r="S18" s="26">
        <f t="shared" si="2"/>
        <v>3164586360229.3125</v>
      </c>
      <c r="T18" s="26">
        <f t="shared" si="2"/>
        <v>3240198857397.0254</v>
      </c>
      <c r="U18" s="26">
        <f t="shared" si="2"/>
        <v>3312691568251.479</v>
      </c>
      <c r="V18" s="33">
        <f>SUM(D18:U18)</f>
        <v>49310379797111.094</v>
      </c>
    </row>
    <row r="19" spans="1:22" x14ac:dyDescent="0.25">
      <c r="A19" s="8" t="s">
        <v>30</v>
      </c>
      <c r="B19" s="8"/>
      <c r="C19" s="22" t="s">
        <v>19</v>
      </c>
      <c r="D19" s="24">
        <f>D18/12</f>
        <v>186386359496.4313</v>
      </c>
      <c r="E19" s="24">
        <f t="shared" ref="E19:U19" si="3">E18/12</f>
        <v>190575001211.72754</v>
      </c>
      <c r="F19" s="24">
        <f t="shared" si="3"/>
        <v>195273274251.24417</v>
      </c>
      <c r="G19" s="24">
        <f t="shared" si="3"/>
        <v>199839268752.33984</v>
      </c>
      <c r="H19" s="24">
        <f t="shared" si="3"/>
        <v>204198272934.33102</v>
      </c>
      <c r="I19" s="24">
        <f t="shared" si="3"/>
        <v>208703681948.94858</v>
      </c>
      <c r="J19" s="24">
        <f t="shared" si="3"/>
        <v>213560352310.22977</v>
      </c>
      <c r="K19" s="24">
        <f t="shared" si="3"/>
        <v>218599258438.12476</v>
      </c>
      <c r="L19" s="24">
        <f t="shared" si="3"/>
        <v>223759485722.55688</v>
      </c>
      <c r="M19" s="24">
        <f t="shared" si="3"/>
        <v>229043834715.53189</v>
      </c>
      <c r="N19" s="24">
        <f t="shared" si="3"/>
        <v>234470046454.31491</v>
      </c>
      <c r="O19" s="24">
        <f t="shared" si="3"/>
        <v>240042811662.90787</v>
      </c>
      <c r="P19" s="24">
        <f t="shared" si="3"/>
        <v>245743038256.91281</v>
      </c>
      <c r="Q19" s="24">
        <f t="shared" si="3"/>
        <v>251590458511.68005</v>
      </c>
      <c r="R19" s="24">
        <f t="shared" si="3"/>
        <v>257623439602.15866</v>
      </c>
      <c r="S19" s="24">
        <f t="shared" si="3"/>
        <v>263715530019.10938</v>
      </c>
      <c r="T19" s="24">
        <f t="shared" si="3"/>
        <v>270016571449.75211</v>
      </c>
      <c r="U19" s="24">
        <f t="shared" si="3"/>
        <v>276057630687.62323</v>
      </c>
    </row>
    <row r="20" spans="1:22" x14ac:dyDescent="0.25">
      <c r="A20" s="3"/>
      <c r="B20" s="3"/>
      <c r="C20" s="4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2" ht="25.5" customHeight="1" x14ac:dyDescent="0.25">
      <c r="A21" s="11" t="s">
        <v>50</v>
      </c>
      <c r="B21" s="34" t="s">
        <v>48</v>
      </c>
      <c r="C21" s="34" t="s">
        <v>17</v>
      </c>
      <c r="D21" s="34">
        <v>2018</v>
      </c>
      <c r="E21" s="34">
        <v>2019</v>
      </c>
      <c r="F21" s="34">
        <v>2020</v>
      </c>
      <c r="G21" s="34">
        <v>2021</v>
      </c>
      <c r="H21" s="34">
        <v>2022</v>
      </c>
      <c r="I21" s="34">
        <v>2023</v>
      </c>
      <c r="J21" s="34">
        <v>2024</v>
      </c>
      <c r="K21" s="34">
        <v>2025</v>
      </c>
      <c r="L21" s="34">
        <v>2026</v>
      </c>
      <c r="M21" s="34">
        <v>2027</v>
      </c>
      <c r="N21" s="34">
        <v>2028</v>
      </c>
      <c r="O21" s="34">
        <v>2029</v>
      </c>
      <c r="P21" s="34">
        <v>2030</v>
      </c>
      <c r="Q21" s="34">
        <v>2031</v>
      </c>
      <c r="R21" s="34">
        <v>2032</v>
      </c>
      <c r="S21" s="34">
        <v>2033</v>
      </c>
      <c r="T21" s="34">
        <v>2034</v>
      </c>
      <c r="U21" s="34">
        <v>2035</v>
      </c>
    </row>
    <row r="22" spans="1:22" x14ac:dyDescent="0.25">
      <c r="A22" s="11" t="s">
        <v>51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</row>
    <row r="23" spans="1:22" ht="38.25" x14ac:dyDescent="0.25">
      <c r="A23" s="14" t="s">
        <v>36</v>
      </c>
      <c r="B23" s="11" t="s">
        <v>52</v>
      </c>
      <c r="C23" s="12" t="s">
        <v>19</v>
      </c>
      <c r="D23" s="13">
        <f>D17*D10*D14</f>
        <v>46274.327179992593</v>
      </c>
      <c r="E23" s="13">
        <f t="shared" ref="E23:U23" si="4">E17*E10*E14</f>
        <v>64391.874654520798</v>
      </c>
      <c r="F23" s="13">
        <f t="shared" si="4"/>
        <v>75500.005914639609</v>
      </c>
      <c r="G23" s="13">
        <f t="shared" si="4"/>
        <v>75877.725366300903</v>
      </c>
      <c r="H23" s="13">
        <f t="shared" si="4"/>
        <v>76257.012118591505</v>
      </c>
      <c r="I23" s="13">
        <f t="shared" si="4"/>
        <v>76637.866171511399</v>
      </c>
      <c r="J23" s="13">
        <f t="shared" si="4"/>
        <v>77020.287525060601</v>
      </c>
      <c r="K23" s="13">
        <f t="shared" si="4"/>
        <v>77405.843479868403</v>
      </c>
      <c r="L23" s="13">
        <f t="shared" si="4"/>
        <v>77792.966735305497</v>
      </c>
      <c r="M23" s="13">
        <f t="shared" si="4"/>
        <v>78181.657291371914</v>
      </c>
      <c r="N23" s="13">
        <f t="shared" si="4"/>
        <v>78571.915148067608</v>
      </c>
      <c r="O23" s="13">
        <f t="shared" si="4"/>
        <v>78965.307606021903</v>
      </c>
      <c r="P23" s="13">
        <f t="shared" si="4"/>
        <v>79360.267364605505</v>
      </c>
      <c r="Q23" s="13">
        <f t="shared" si="4"/>
        <v>79756.794423818399</v>
      </c>
      <c r="R23" s="13">
        <f t="shared" si="4"/>
        <v>80154.888783660601</v>
      </c>
      <c r="S23" s="13">
        <f t="shared" si="4"/>
        <v>80556.117744761403</v>
      </c>
      <c r="T23" s="13">
        <f t="shared" si="4"/>
        <v>80958.914006491512</v>
      </c>
      <c r="U23" s="13">
        <f t="shared" si="4"/>
        <v>109017.3</v>
      </c>
    </row>
    <row r="24" spans="1:22" ht="25.5" x14ac:dyDescent="0.25">
      <c r="A24" s="11" t="s">
        <v>37</v>
      </c>
      <c r="B24" s="11" t="s">
        <v>43</v>
      </c>
      <c r="C24" s="12" t="s">
        <v>19</v>
      </c>
      <c r="D24" s="13">
        <f>D16*D14</f>
        <v>7800</v>
      </c>
      <c r="E24" s="13">
        <f t="shared" ref="E24:U24" si="5">E16*E14</f>
        <v>10800</v>
      </c>
      <c r="F24" s="13">
        <f t="shared" si="5"/>
        <v>12600</v>
      </c>
      <c r="G24" s="13">
        <f t="shared" si="5"/>
        <v>12600</v>
      </c>
      <c r="H24" s="13">
        <f t="shared" si="5"/>
        <v>12600</v>
      </c>
      <c r="I24" s="13">
        <f t="shared" si="5"/>
        <v>12600</v>
      </c>
      <c r="J24" s="13">
        <f t="shared" si="5"/>
        <v>12600</v>
      </c>
      <c r="K24" s="13">
        <f t="shared" si="5"/>
        <v>12600</v>
      </c>
      <c r="L24" s="13">
        <f t="shared" si="5"/>
        <v>12600</v>
      </c>
      <c r="M24" s="13">
        <f t="shared" si="5"/>
        <v>12600</v>
      </c>
      <c r="N24" s="13">
        <f t="shared" si="5"/>
        <v>12600</v>
      </c>
      <c r="O24" s="13">
        <f t="shared" si="5"/>
        <v>12600</v>
      </c>
      <c r="P24" s="13">
        <f t="shared" si="5"/>
        <v>12600</v>
      </c>
      <c r="Q24" s="13">
        <f t="shared" si="5"/>
        <v>12600</v>
      </c>
      <c r="R24" s="13">
        <f t="shared" si="5"/>
        <v>12600</v>
      </c>
      <c r="S24" s="13">
        <f t="shared" si="5"/>
        <v>12600</v>
      </c>
      <c r="T24" s="13">
        <f t="shared" si="5"/>
        <v>12600</v>
      </c>
      <c r="U24" s="13">
        <f t="shared" si="5"/>
        <v>12600</v>
      </c>
    </row>
    <row r="25" spans="1:22" ht="76.5" x14ac:dyDescent="0.25">
      <c r="A25" s="11" t="s">
        <v>38</v>
      </c>
      <c r="B25" s="11" t="s">
        <v>44</v>
      </c>
      <c r="C25" s="12" t="s">
        <v>19</v>
      </c>
      <c r="D25" s="13">
        <f>(D11*D9*D13*D15)-(D12*D9*D13*D15)</f>
        <v>0</v>
      </c>
      <c r="E25" s="13">
        <f t="shared" ref="E25:U25" si="6">(E11*E9*E13*E15)-(E12*E9*E13*E15)</f>
        <v>235348928487.00024</v>
      </c>
      <c r="F25" s="13">
        <f t="shared" si="6"/>
        <v>468652289882.70605</v>
      </c>
      <c r="G25" s="13">
        <f t="shared" si="6"/>
        <v>743257419641.33765</v>
      </c>
      <c r="H25" s="13">
        <f t="shared" si="6"/>
        <v>1083316504505.2559</v>
      </c>
      <c r="I25" s="13">
        <f t="shared" si="6"/>
        <v>1272635139341.2104</v>
      </c>
      <c r="J25" s="13">
        <f t="shared" si="6"/>
        <v>1320745278953.6997</v>
      </c>
      <c r="K25" s="13">
        <f t="shared" si="6"/>
        <v>1340913830050.2634</v>
      </c>
      <c r="L25" s="13">
        <f t="shared" si="6"/>
        <v>1361563205961.4397</v>
      </c>
      <c r="M25" s="13">
        <f t="shared" si="6"/>
        <v>1382205138460.812</v>
      </c>
      <c r="N25" s="13">
        <f t="shared" si="6"/>
        <v>1403428421010.0024</v>
      </c>
      <c r="O25" s="13">
        <f t="shared" si="6"/>
        <v>1424980153899.0068</v>
      </c>
      <c r="P25" s="13">
        <f t="shared" si="6"/>
        <v>1446741634297.478</v>
      </c>
      <c r="Q25" s="13">
        <f t="shared" si="6"/>
        <v>1468810919361.9709</v>
      </c>
      <c r="R25" s="13">
        <f t="shared" si="6"/>
        <v>1491390195662.5918</v>
      </c>
      <c r="S25" s="13">
        <f t="shared" si="6"/>
        <v>1514003084843.8862</v>
      </c>
      <c r="T25" s="13">
        <f t="shared" si="6"/>
        <v>1536936687134.3032</v>
      </c>
      <c r="U25" s="13">
        <f t="shared" si="6"/>
        <v>1618879503534.9951</v>
      </c>
    </row>
    <row r="26" spans="1:22" ht="38.25" x14ac:dyDescent="0.25">
      <c r="A26" s="11" t="s">
        <v>39</v>
      </c>
      <c r="B26" s="11" t="s">
        <v>45</v>
      </c>
      <c r="C26" s="12" t="s">
        <v>19</v>
      </c>
      <c r="D26" s="13">
        <f>D12*D10*D13*D15</f>
        <v>2236636259882.8486</v>
      </c>
      <c r="E26" s="13">
        <f t="shared" ref="E26:U26" si="7">E12*E10*E13*E15</f>
        <v>2051551010861.8557</v>
      </c>
      <c r="F26" s="13">
        <f t="shared" si="7"/>
        <v>1874626913032.218</v>
      </c>
      <c r="G26" s="13">
        <f t="shared" si="7"/>
        <v>1654813716909.0151</v>
      </c>
      <c r="H26" s="13">
        <f t="shared" si="7"/>
        <v>1367062681849.7041</v>
      </c>
      <c r="I26" s="13">
        <f t="shared" si="7"/>
        <v>1231808954808.3062</v>
      </c>
      <c r="J26" s="13">
        <f t="shared" si="7"/>
        <v>1241978859148.77</v>
      </c>
      <c r="K26" s="13">
        <f t="shared" si="7"/>
        <v>1282277181201.3899</v>
      </c>
      <c r="L26" s="13">
        <f t="shared" si="7"/>
        <v>1323550532316.2761</v>
      </c>
      <c r="M26" s="13">
        <f t="shared" si="7"/>
        <v>1366320787343.9138</v>
      </c>
      <c r="N26" s="13">
        <f t="shared" si="7"/>
        <v>1410212045269.8613</v>
      </c>
      <c r="O26" s="13">
        <f t="shared" si="7"/>
        <v>1455533494490.5798</v>
      </c>
      <c r="P26" s="13">
        <f t="shared" si="7"/>
        <v>1502174732825.2083</v>
      </c>
      <c r="Q26" s="13">
        <f t="shared" si="7"/>
        <v>1550274490421.3953</v>
      </c>
      <c r="R26" s="13">
        <f t="shared" si="7"/>
        <v>1600090986808.4233</v>
      </c>
      <c r="S26" s="13">
        <f t="shared" si="7"/>
        <v>1650583182229.3088</v>
      </c>
      <c r="T26" s="13">
        <f t="shared" si="7"/>
        <v>1703262076703.8083</v>
      </c>
      <c r="U26" s="13">
        <f t="shared" si="7"/>
        <v>1693811943099.1838</v>
      </c>
    </row>
    <row r="27" spans="1:22" ht="11.25" customHeight="1" x14ac:dyDescent="0.25">
      <c r="A27" s="11" t="s">
        <v>40</v>
      </c>
      <c r="B27" s="11"/>
      <c r="C27" s="12" t="s">
        <v>19</v>
      </c>
      <c r="D27" s="13">
        <f>SUM(D23:D26)</f>
        <v>2236636313957.1758</v>
      </c>
      <c r="E27" s="13">
        <f t="shared" ref="E27:U27" si="8">SUM(E23:E26)</f>
        <v>2286900014540.7305</v>
      </c>
      <c r="F27" s="13">
        <f t="shared" si="8"/>
        <v>2343279291014.9302</v>
      </c>
      <c r="G27" s="13">
        <f t="shared" si="8"/>
        <v>2398071225028.0781</v>
      </c>
      <c r="H27" s="13">
        <f t="shared" si="8"/>
        <v>2450379275211.9722</v>
      </c>
      <c r="I27" s="13">
        <f t="shared" si="8"/>
        <v>2504444183387.3828</v>
      </c>
      <c r="J27" s="13">
        <f t="shared" si="8"/>
        <v>2562724227722.7573</v>
      </c>
      <c r="K27" s="13">
        <f t="shared" si="8"/>
        <v>2623191101257.4971</v>
      </c>
      <c r="L27" s="13">
        <f t="shared" si="8"/>
        <v>2685113828670.6826</v>
      </c>
      <c r="M27" s="13">
        <f t="shared" si="8"/>
        <v>2748526016586.3828</v>
      </c>
      <c r="N27" s="13">
        <f t="shared" si="8"/>
        <v>2813640557451.7788</v>
      </c>
      <c r="O27" s="13">
        <f t="shared" si="8"/>
        <v>2880513739954.8945</v>
      </c>
      <c r="P27" s="13">
        <f t="shared" si="8"/>
        <v>2948916459082.9536</v>
      </c>
      <c r="Q27" s="13">
        <f t="shared" si="8"/>
        <v>3019085502140.1606</v>
      </c>
      <c r="R27" s="13">
        <f t="shared" si="8"/>
        <v>3091481275225.9038</v>
      </c>
      <c r="S27" s="13">
        <f t="shared" si="8"/>
        <v>3164586360229.3125</v>
      </c>
      <c r="T27" s="13">
        <f t="shared" si="8"/>
        <v>3240198857397.0254</v>
      </c>
      <c r="U27" s="13">
        <f t="shared" si="8"/>
        <v>3312691568251.479</v>
      </c>
    </row>
    <row r="28" spans="1:22" x14ac:dyDescent="0.25">
      <c r="A28" s="11" t="s">
        <v>49</v>
      </c>
      <c r="B28" s="11"/>
      <c r="C28" s="11" t="s">
        <v>19</v>
      </c>
      <c r="D28" s="13">
        <f>D27/12</f>
        <v>186386359496.4313</v>
      </c>
      <c r="E28" s="13">
        <f t="shared" ref="E28:U28" si="9">E27/12</f>
        <v>190575001211.72754</v>
      </c>
      <c r="F28" s="13">
        <f t="shared" si="9"/>
        <v>195273274251.24417</v>
      </c>
      <c r="G28" s="13">
        <f t="shared" si="9"/>
        <v>199839268752.33984</v>
      </c>
      <c r="H28" s="13">
        <f t="shared" si="9"/>
        <v>204198272934.33102</v>
      </c>
      <c r="I28" s="13">
        <f t="shared" si="9"/>
        <v>208703681948.94858</v>
      </c>
      <c r="J28" s="13">
        <f t="shared" si="9"/>
        <v>213560352310.22977</v>
      </c>
      <c r="K28" s="13">
        <f t="shared" si="9"/>
        <v>218599258438.12476</v>
      </c>
      <c r="L28" s="13">
        <f t="shared" si="9"/>
        <v>223759485722.55688</v>
      </c>
      <c r="M28" s="13">
        <f t="shared" si="9"/>
        <v>229043834715.53189</v>
      </c>
      <c r="N28" s="13">
        <f t="shared" si="9"/>
        <v>234470046454.31491</v>
      </c>
      <c r="O28" s="13">
        <f t="shared" si="9"/>
        <v>240042811662.90787</v>
      </c>
      <c r="P28" s="13">
        <f t="shared" si="9"/>
        <v>245743038256.91281</v>
      </c>
      <c r="Q28" s="13">
        <f t="shared" si="9"/>
        <v>251590458511.68005</v>
      </c>
      <c r="R28" s="13">
        <f t="shared" si="9"/>
        <v>257623439602.15866</v>
      </c>
      <c r="S28" s="13">
        <f t="shared" si="9"/>
        <v>263715530019.10938</v>
      </c>
      <c r="T28" s="13">
        <f t="shared" si="9"/>
        <v>270016571449.75211</v>
      </c>
      <c r="U28" s="13">
        <f t="shared" si="9"/>
        <v>276057630687.62323</v>
      </c>
    </row>
    <row r="31" spans="1:22" ht="38.25" customHeight="1" x14ac:dyDescent="0.25">
      <c r="A31" s="38" t="s">
        <v>58</v>
      </c>
      <c r="B31" s="38"/>
      <c r="C31" s="38"/>
    </row>
    <row r="32" spans="1:22" x14ac:dyDescent="0.25">
      <c r="A32" s="39" t="s">
        <v>0</v>
      </c>
      <c r="B32" s="39"/>
      <c r="C32" s="39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ht="25.5" x14ac:dyDescent="0.25">
      <c r="A33" s="8" t="s">
        <v>13</v>
      </c>
      <c r="B33" s="6" t="s">
        <v>14</v>
      </c>
      <c r="C33" s="8" t="s">
        <v>32</v>
      </c>
    </row>
    <row r="34" spans="1:21" ht="38.25" x14ac:dyDescent="0.25">
      <c r="A34" s="6" t="s">
        <v>2</v>
      </c>
      <c r="B34" s="6" t="s">
        <v>15</v>
      </c>
      <c r="C34" s="10">
        <v>600000</v>
      </c>
      <c r="E34" s="10"/>
      <c r="F34" s="1" t="s">
        <v>41</v>
      </c>
    </row>
    <row r="35" spans="1:21" ht="25.5" x14ac:dyDescent="0.25">
      <c r="A35" s="6" t="s">
        <v>3</v>
      </c>
      <c r="B35" s="6" t="s">
        <v>16</v>
      </c>
      <c r="C35" s="7">
        <v>74.633363299999999</v>
      </c>
    </row>
    <row r="36" spans="1:21" ht="25.5" x14ac:dyDescent="0.25">
      <c r="A36" s="8" t="s">
        <v>1</v>
      </c>
      <c r="B36" s="6"/>
      <c r="C36" s="6"/>
    </row>
    <row r="37" spans="1:21" ht="38.25" customHeight="1" x14ac:dyDescent="0.25">
      <c r="A37" s="39" t="s">
        <v>31</v>
      </c>
      <c r="B37" s="39"/>
      <c r="C37" s="39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25.5" x14ac:dyDescent="0.25">
      <c r="A38" s="8" t="s">
        <v>6</v>
      </c>
      <c r="B38" s="8" t="s">
        <v>14</v>
      </c>
      <c r="C38" s="8" t="s">
        <v>17</v>
      </c>
      <c r="D38" s="16">
        <v>2018</v>
      </c>
      <c r="E38" s="16">
        <v>2019</v>
      </c>
      <c r="F38" s="16">
        <v>2020</v>
      </c>
      <c r="G38" s="16">
        <v>2021</v>
      </c>
      <c r="H38" s="16">
        <v>2022</v>
      </c>
      <c r="I38" s="16">
        <v>2023</v>
      </c>
      <c r="J38" s="16">
        <v>2024</v>
      </c>
      <c r="K38" s="16">
        <v>2025</v>
      </c>
      <c r="L38" s="16">
        <v>2026</v>
      </c>
      <c r="M38" s="16">
        <v>2027</v>
      </c>
      <c r="N38" s="16">
        <v>2028</v>
      </c>
      <c r="O38" s="16">
        <v>2029</v>
      </c>
      <c r="P38" s="16">
        <v>2030</v>
      </c>
      <c r="Q38" s="16">
        <v>2031</v>
      </c>
      <c r="R38" s="16">
        <v>2032</v>
      </c>
      <c r="S38" s="16">
        <v>2033</v>
      </c>
      <c r="T38" s="16">
        <v>2034</v>
      </c>
      <c r="U38" s="16">
        <v>2035</v>
      </c>
    </row>
    <row r="39" spans="1:21" ht="25.5" x14ac:dyDescent="0.25">
      <c r="A39" s="17" t="s">
        <v>7</v>
      </c>
      <c r="B39" s="17" t="s">
        <v>18</v>
      </c>
      <c r="C39" s="17" t="s">
        <v>19</v>
      </c>
      <c r="D39" s="23">
        <v>47694</v>
      </c>
      <c r="E39" s="23">
        <v>47694</v>
      </c>
      <c r="F39" s="23">
        <v>47694</v>
      </c>
      <c r="G39" s="23">
        <v>47694</v>
      </c>
      <c r="H39" s="23">
        <v>47694</v>
      </c>
      <c r="I39" s="23">
        <v>47694</v>
      </c>
      <c r="J39" s="23">
        <v>47694</v>
      </c>
      <c r="K39" s="23">
        <v>47694</v>
      </c>
      <c r="L39" s="23">
        <v>47694</v>
      </c>
      <c r="M39" s="23">
        <v>47694</v>
      </c>
      <c r="N39" s="23">
        <v>47694</v>
      </c>
      <c r="O39" s="23">
        <v>47694</v>
      </c>
      <c r="P39" s="23">
        <v>47694</v>
      </c>
      <c r="Q39" s="23">
        <v>47694</v>
      </c>
      <c r="R39" s="23">
        <v>47694</v>
      </c>
      <c r="S39" s="23">
        <v>47694</v>
      </c>
      <c r="T39" s="23">
        <v>47694</v>
      </c>
      <c r="U39" s="23">
        <v>47694</v>
      </c>
    </row>
    <row r="40" spans="1:21" x14ac:dyDescent="0.25">
      <c r="A40" s="17" t="s">
        <v>8</v>
      </c>
      <c r="B40" s="17" t="s">
        <v>23</v>
      </c>
      <c r="C40" s="17" t="s">
        <v>19</v>
      </c>
      <c r="D40" s="23">
        <v>47694</v>
      </c>
      <c r="E40" s="23">
        <v>47932</v>
      </c>
      <c r="F40" s="23">
        <v>48172</v>
      </c>
      <c r="G40" s="23">
        <v>48413</v>
      </c>
      <c r="H40" s="23">
        <v>48655</v>
      </c>
      <c r="I40" s="23">
        <v>48898</v>
      </c>
      <c r="J40" s="23">
        <v>49142</v>
      </c>
      <c r="K40" s="23">
        <v>49388</v>
      </c>
      <c r="L40" s="23">
        <v>49635</v>
      </c>
      <c r="M40" s="23">
        <v>49883</v>
      </c>
      <c r="N40" s="23">
        <v>50132</v>
      </c>
      <c r="O40" s="23">
        <v>50383</v>
      </c>
      <c r="P40" s="23">
        <v>50635</v>
      </c>
      <c r="Q40" s="23">
        <v>50888</v>
      </c>
      <c r="R40" s="23">
        <v>51142</v>
      </c>
      <c r="S40" s="23">
        <v>51398</v>
      </c>
      <c r="T40" s="23">
        <v>51655</v>
      </c>
      <c r="U40" s="23">
        <v>51913</v>
      </c>
    </row>
    <row r="41" spans="1:21" ht="25.5" x14ac:dyDescent="0.25">
      <c r="A41" s="17" t="s">
        <v>4</v>
      </c>
      <c r="B41" s="17" t="s">
        <v>24</v>
      </c>
      <c r="C41" s="17" t="s">
        <v>20</v>
      </c>
      <c r="D41" s="25">
        <f>108.83/1000000</f>
        <v>1.0883E-4</v>
      </c>
      <c r="E41" s="25">
        <f t="shared" ref="E41:U41" si="10">108.83/1000000</f>
        <v>1.0883E-4</v>
      </c>
      <c r="F41" s="25">
        <f t="shared" si="10"/>
        <v>1.0883E-4</v>
      </c>
      <c r="G41" s="25">
        <f t="shared" si="10"/>
        <v>1.0883E-4</v>
      </c>
      <c r="H41" s="25">
        <f t="shared" si="10"/>
        <v>1.0883E-4</v>
      </c>
      <c r="I41" s="25">
        <f t="shared" si="10"/>
        <v>1.0883E-4</v>
      </c>
      <c r="J41" s="25">
        <f t="shared" si="10"/>
        <v>1.0883E-4</v>
      </c>
      <c r="K41" s="25">
        <f t="shared" si="10"/>
        <v>1.0883E-4</v>
      </c>
      <c r="L41" s="25">
        <f t="shared" si="10"/>
        <v>1.0883E-4</v>
      </c>
      <c r="M41" s="25">
        <f t="shared" si="10"/>
        <v>1.0883E-4</v>
      </c>
      <c r="N41" s="25">
        <f t="shared" si="10"/>
        <v>1.0883E-4</v>
      </c>
      <c r="O41" s="25">
        <f t="shared" si="10"/>
        <v>1.0883E-4</v>
      </c>
      <c r="P41" s="25">
        <f t="shared" si="10"/>
        <v>1.0883E-4</v>
      </c>
      <c r="Q41" s="25">
        <f t="shared" si="10"/>
        <v>1.0883E-4</v>
      </c>
      <c r="R41" s="25">
        <f t="shared" si="10"/>
        <v>1.0883E-4</v>
      </c>
      <c r="S41" s="25">
        <f t="shared" si="10"/>
        <v>1.0883E-4</v>
      </c>
      <c r="T41" s="25">
        <f t="shared" si="10"/>
        <v>1.0883E-4</v>
      </c>
      <c r="U41" s="25">
        <f t="shared" si="10"/>
        <v>1.0883E-4</v>
      </c>
    </row>
    <row r="42" spans="1:21" ht="25.5" x14ac:dyDescent="0.25">
      <c r="A42" s="17" t="s">
        <v>5</v>
      </c>
      <c r="B42" s="17" t="s">
        <v>35</v>
      </c>
      <c r="C42" s="17" t="s">
        <v>20</v>
      </c>
      <c r="D42" s="25">
        <f>108.83/1000000</f>
        <v>1.0883E-4</v>
      </c>
      <c r="E42" s="25">
        <f>97.58/1000000</f>
        <v>9.7579999999999997E-5</v>
      </c>
      <c r="F42" s="25">
        <f>86.89/1000000</f>
        <v>8.6890000000000003E-5</v>
      </c>
      <c r="G42" s="25">
        <f>74.75/1000000</f>
        <v>7.4750000000000001E-5</v>
      </c>
      <c r="H42" s="25">
        <f>60.18/1000000</f>
        <v>6.0179999999999996E-5</v>
      </c>
      <c r="I42" s="25">
        <f>52.85/1000000</f>
        <v>5.2850000000000004E-5</v>
      </c>
      <c r="J42" s="25">
        <f>51.93/1000000</f>
        <v>5.1929999999999999E-5</v>
      </c>
      <c r="K42" s="25">
        <f>52.25/1000000</f>
        <v>5.2250000000000003E-5</v>
      </c>
      <c r="L42" s="25">
        <f>52.56/1000000</f>
        <v>5.2560000000000005E-5</v>
      </c>
      <c r="M42" s="25">
        <f>52.88/1000000</f>
        <v>5.2880000000000002E-5</v>
      </c>
      <c r="N42" s="25">
        <f>53.19/1000000</f>
        <v>5.3189999999999997E-5</v>
      </c>
      <c r="O42" s="25">
        <f>53.5/1000000</f>
        <v>5.3499999999999999E-5</v>
      </c>
      <c r="P42" s="25">
        <f>53.81/1000000</f>
        <v>5.3810000000000001E-5</v>
      </c>
      <c r="Q42" s="25">
        <f>54.12/1000000</f>
        <v>5.4119999999999997E-5</v>
      </c>
      <c r="R42" s="25">
        <f>54.43/1000000</f>
        <v>5.4429999999999999E-5</v>
      </c>
      <c r="S42" s="25">
        <f>54.73/1000000</f>
        <v>5.4729999999999999E-5</v>
      </c>
      <c r="T42" s="25">
        <f>55.04/1000000</f>
        <v>5.5040000000000002E-5</v>
      </c>
      <c r="U42" s="25">
        <f>53.34/1000000</f>
        <v>5.3340000000000001E-5</v>
      </c>
    </row>
    <row r="43" spans="1:21" ht="25.5" x14ac:dyDescent="0.25">
      <c r="A43" s="17" t="s">
        <v>9</v>
      </c>
      <c r="B43" s="17" t="s">
        <v>25</v>
      </c>
      <c r="C43" s="17" t="s">
        <v>21</v>
      </c>
      <c r="D43" s="26">
        <v>4107</v>
      </c>
      <c r="E43" s="26">
        <v>4107</v>
      </c>
      <c r="F43" s="26">
        <v>4107</v>
      </c>
      <c r="G43" s="26">
        <v>4107</v>
      </c>
      <c r="H43" s="26">
        <v>4107</v>
      </c>
      <c r="I43" s="26">
        <v>4107</v>
      </c>
      <c r="J43" s="26">
        <v>4107</v>
      </c>
      <c r="K43" s="26">
        <v>4107</v>
      </c>
      <c r="L43" s="26">
        <v>4107</v>
      </c>
      <c r="M43" s="26">
        <v>4107</v>
      </c>
      <c r="N43" s="26">
        <v>4107</v>
      </c>
      <c r="O43" s="26">
        <v>4107</v>
      </c>
      <c r="P43" s="26">
        <v>4107</v>
      </c>
      <c r="Q43" s="26">
        <v>4107</v>
      </c>
      <c r="R43" s="26">
        <v>4107</v>
      </c>
      <c r="S43" s="26">
        <v>4107</v>
      </c>
      <c r="T43" s="26">
        <v>4107</v>
      </c>
      <c r="U43" s="26">
        <v>4107</v>
      </c>
    </row>
    <row r="44" spans="1:21" x14ac:dyDescent="0.25">
      <c r="A44" s="17" t="s">
        <v>10</v>
      </c>
      <c r="B44" s="17" t="s">
        <v>26</v>
      </c>
      <c r="C44" s="17" t="s">
        <v>22</v>
      </c>
      <c r="D44" s="27">
        <v>1.2999999999999999E-2</v>
      </c>
      <c r="E44" s="27">
        <v>1.7999999999999999E-2</v>
      </c>
      <c r="F44" s="27">
        <v>2.1000000000000001E-2</v>
      </c>
      <c r="G44" s="27">
        <v>2.1000000000000001E-2</v>
      </c>
      <c r="H44" s="27">
        <v>2.1000000000000001E-2</v>
      </c>
      <c r="I44" s="27">
        <v>2.1000000000000001E-2</v>
      </c>
      <c r="J44" s="27">
        <v>2.1000000000000001E-2</v>
      </c>
      <c r="K44" s="27">
        <v>2.1000000000000001E-2</v>
      </c>
      <c r="L44" s="27">
        <v>2.1000000000000001E-2</v>
      </c>
      <c r="M44" s="27">
        <v>2.1000000000000001E-2</v>
      </c>
      <c r="N44" s="27">
        <v>2.1000000000000001E-2</v>
      </c>
      <c r="O44" s="27">
        <v>2.1000000000000001E-2</v>
      </c>
      <c r="P44" s="27">
        <v>2.1000000000000001E-2</v>
      </c>
      <c r="Q44" s="27">
        <v>2.1000000000000001E-2</v>
      </c>
      <c r="R44" s="27">
        <v>2.1000000000000001E-2</v>
      </c>
      <c r="S44" s="27">
        <v>2.1000000000000001E-2</v>
      </c>
      <c r="T44" s="27">
        <v>2.1000000000000001E-2</v>
      </c>
      <c r="U44" s="27">
        <v>2.1000000000000001E-2</v>
      </c>
    </row>
    <row r="45" spans="1:21" s="2" customFormat="1" ht="25.5" x14ac:dyDescent="0.25">
      <c r="A45" s="20" t="s">
        <v>11</v>
      </c>
      <c r="B45" s="20" t="s">
        <v>27</v>
      </c>
      <c r="C45" s="20" t="s">
        <v>19</v>
      </c>
      <c r="D45" s="21">
        <v>104.92</v>
      </c>
      <c r="E45" s="28">
        <v>106.8</v>
      </c>
      <c r="F45" s="28">
        <v>109.05</v>
      </c>
      <c r="G45" s="21">
        <v>111.34</v>
      </c>
      <c r="H45" s="21">
        <v>113.68</v>
      </c>
      <c r="I45" s="28">
        <v>116.06</v>
      </c>
      <c r="J45" s="21">
        <v>118.5</v>
      </c>
      <c r="K45" s="21">
        <v>120.99</v>
      </c>
      <c r="L45" s="21">
        <v>123.53</v>
      </c>
      <c r="M45" s="21">
        <v>126.12</v>
      </c>
      <c r="N45" s="21">
        <v>128.77000000000001</v>
      </c>
      <c r="O45" s="28">
        <v>131.47999999999999</v>
      </c>
      <c r="P45" s="21">
        <v>134.24</v>
      </c>
      <c r="Q45" s="21">
        <v>137.06</v>
      </c>
      <c r="R45" s="28">
        <v>139.96</v>
      </c>
      <c r="S45" s="28">
        <v>142.87</v>
      </c>
      <c r="T45" s="21">
        <v>145.87</v>
      </c>
      <c r="U45" s="28">
        <v>148.94</v>
      </c>
    </row>
    <row r="46" spans="1:21" x14ac:dyDescent="0.25">
      <c r="A46" s="17" t="s">
        <v>12</v>
      </c>
      <c r="B46" s="17" t="s">
        <v>15</v>
      </c>
      <c r="C46" s="20" t="s">
        <v>19</v>
      </c>
      <c r="D46" s="23">
        <f>C34</f>
        <v>600000</v>
      </c>
      <c r="E46" s="23">
        <f>D46</f>
        <v>600000</v>
      </c>
      <c r="F46" s="23">
        <f t="shared" ref="F46:U46" si="11">E46</f>
        <v>600000</v>
      </c>
      <c r="G46" s="23">
        <f t="shared" si="11"/>
        <v>600000</v>
      </c>
      <c r="H46" s="23">
        <f t="shared" si="11"/>
        <v>600000</v>
      </c>
      <c r="I46" s="23">
        <f t="shared" si="11"/>
        <v>600000</v>
      </c>
      <c r="J46" s="23">
        <f t="shared" si="11"/>
        <v>600000</v>
      </c>
      <c r="K46" s="23">
        <f t="shared" si="11"/>
        <v>600000</v>
      </c>
      <c r="L46" s="23">
        <f t="shared" si="11"/>
        <v>600000</v>
      </c>
      <c r="M46" s="23">
        <f t="shared" si="11"/>
        <v>600000</v>
      </c>
      <c r="N46" s="23">
        <f t="shared" si="11"/>
        <v>600000</v>
      </c>
      <c r="O46" s="23">
        <f t="shared" si="11"/>
        <v>600000</v>
      </c>
      <c r="P46" s="23">
        <f t="shared" si="11"/>
        <v>600000</v>
      </c>
      <c r="Q46" s="23">
        <f t="shared" si="11"/>
        <v>600000</v>
      </c>
      <c r="R46" s="23">
        <f t="shared" si="11"/>
        <v>600000</v>
      </c>
      <c r="S46" s="23">
        <f t="shared" si="11"/>
        <v>600000</v>
      </c>
      <c r="T46" s="23">
        <f t="shared" si="11"/>
        <v>600000</v>
      </c>
      <c r="U46" s="23">
        <f t="shared" si="11"/>
        <v>600000</v>
      </c>
    </row>
    <row r="47" spans="1:21" ht="25.5" x14ac:dyDescent="0.25">
      <c r="A47" s="17" t="s">
        <v>28</v>
      </c>
      <c r="B47" s="17" t="s">
        <v>16</v>
      </c>
      <c r="C47" s="20" t="s">
        <v>19</v>
      </c>
      <c r="D47" s="23">
        <f>C35</f>
        <v>74.633363299999999</v>
      </c>
      <c r="E47" s="23">
        <f>D47</f>
        <v>74.633363299999999</v>
      </c>
      <c r="F47" s="23">
        <f t="shared" ref="F47:T47" si="12">E47</f>
        <v>74.633363299999999</v>
      </c>
      <c r="G47" s="23">
        <f t="shared" si="12"/>
        <v>74.633363299999999</v>
      </c>
      <c r="H47" s="23">
        <f t="shared" si="12"/>
        <v>74.633363299999999</v>
      </c>
      <c r="I47" s="23">
        <f t="shared" si="12"/>
        <v>74.633363299999999</v>
      </c>
      <c r="J47" s="23">
        <f t="shared" si="12"/>
        <v>74.633363299999999</v>
      </c>
      <c r="K47" s="23">
        <f t="shared" si="12"/>
        <v>74.633363299999999</v>
      </c>
      <c r="L47" s="23">
        <f t="shared" si="12"/>
        <v>74.633363299999999</v>
      </c>
      <c r="M47" s="23">
        <f t="shared" si="12"/>
        <v>74.633363299999999</v>
      </c>
      <c r="N47" s="23">
        <f t="shared" si="12"/>
        <v>74.633363299999999</v>
      </c>
      <c r="O47" s="23">
        <f t="shared" si="12"/>
        <v>74.633363299999999</v>
      </c>
      <c r="P47" s="23">
        <f t="shared" si="12"/>
        <v>74.633363299999999</v>
      </c>
      <c r="Q47" s="23">
        <f t="shared" si="12"/>
        <v>74.633363299999999</v>
      </c>
      <c r="R47" s="23">
        <f t="shared" si="12"/>
        <v>74.633363299999999</v>
      </c>
      <c r="S47" s="23">
        <f t="shared" si="12"/>
        <v>74.633363299999999</v>
      </c>
      <c r="T47" s="23">
        <f t="shared" si="12"/>
        <v>74.633363299999999</v>
      </c>
      <c r="U47" s="23">
        <v>100</v>
      </c>
    </row>
    <row r="48" spans="1:21" x14ac:dyDescent="0.25">
      <c r="A48" s="8" t="s">
        <v>29</v>
      </c>
      <c r="B48" s="8"/>
      <c r="C48" s="22" t="s">
        <v>19</v>
      </c>
      <c r="D48" s="26">
        <f>(D47*D40*D44)+(D46*D44)+((D41*D39*D43*D45)-(D42*D39*D43*D45))+(D42*D40*D43*D45)</f>
        <v>2290710.5870628413</v>
      </c>
      <c r="E48" s="26">
        <f t="shared" ref="E48:U48" si="13">E47*E40*E44+E46*E44+(E41*E39*E43*E45-E42*E39*E43*E45)+E42*E40*E43*E45</f>
        <v>2362091.8140033768</v>
      </c>
      <c r="F48" s="26">
        <f t="shared" si="13"/>
        <v>2431379.2088295636</v>
      </c>
      <c r="G48" s="26">
        <f t="shared" si="13"/>
        <v>2486548.8619166533</v>
      </c>
      <c r="H48" s="26">
        <f t="shared" si="13"/>
        <v>2539236.1984735518</v>
      </c>
      <c r="I48" s="26">
        <f t="shared" si="13"/>
        <v>2593681.9603210278</v>
      </c>
      <c r="J48" s="26">
        <f t="shared" si="13"/>
        <v>2652344.4256275306</v>
      </c>
      <c r="K48" s="26">
        <f t="shared" si="13"/>
        <v>2713196.854731522</v>
      </c>
      <c r="L48" s="26">
        <f t="shared" si="13"/>
        <v>2775506.7050130214</v>
      </c>
      <c r="M48" s="26">
        <f t="shared" si="13"/>
        <v>2839307.5830960972</v>
      </c>
      <c r="N48" s="26">
        <f t="shared" si="13"/>
        <v>2904812.3814279311</v>
      </c>
      <c r="O48" s="26">
        <f t="shared" si="13"/>
        <v>2972078.9559956086</v>
      </c>
      <c r="P48" s="26">
        <f t="shared" si="13"/>
        <v>3040876.6344872918</v>
      </c>
      <c r="Q48" s="26">
        <f t="shared" si="13"/>
        <v>3111442.2042071838</v>
      </c>
      <c r="R48" s="26">
        <f t="shared" si="13"/>
        <v>3184236.0712546762</v>
      </c>
      <c r="S48" s="26">
        <f t="shared" si="13"/>
        <v>3257742.384817956</v>
      </c>
      <c r="T48" s="26">
        <f t="shared" si="13"/>
        <v>3333757.6778446026</v>
      </c>
      <c r="U48" s="26">
        <f t="shared" si="13"/>
        <v>3434308.7466341783</v>
      </c>
    </row>
    <row r="49" spans="1:22" x14ac:dyDescent="0.25">
      <c r="A49" s="8" t="s">
        <v>30</v>
      </c>
      <c r="B49" s="8"/>
      <c r="C49" s="22" t="s">
        <v>19</v>
      </c>
      <c r="D49" s="24">
        <f>D48/12</f>
        <v>190892.54892190345</v>
      </c>
      <c r="E49" s="24">
        <f t="shared" ref="E49:U49" si="14">E48/12</f>
        <v>196840.9845002814</v>
      </c>
      <c r="F49" s="24">
        <f t="shared" si="14"/>
        <v>202614.93406913031</v>
      </c>
      <c r="G49" s="24">
        <f t="shared" si="14"/>
        <v>207212.40515972112</v>
      </c>
      <c r="H49" s="24">
        <f t="shared" si="14"/>
        <v>211603.01653946264</v>
      </c>
      <c r="I49" s="24">
        <f t="shared" si="14"/>
        <v>216140.16336008566</v>
      </c>
      <c r="J49" s="24">
        <f t="shared" si="14"/>
        <v>221028.70213562754</v>
      </c>
      <c r="K49" s="24">
        <f t="shared" si="14"/>
        <v>226099.7378942935</v>
      </c>
      <c r="L49" s="24">
        <f t="shared" si="14"/>
        <v>231292.22541775179</v>
      </c>
      <c r="M49" s="24">
        <f t="shared" si="14"/>
        <v>236608.9652580081</v>
      </c>
      <c r="N49" s="24">
        <f t="shared" si="14"/>
        <v>242067.6984523276</v>
      </c>
      <c r="O49" s="24">
        <f t="shared" si="14"/>
        <v>247673.24633296739</v>
      </c>
      <c r="P49" s="24">
        <f t="shared" si="14"/>
        <v>253406.38620727431</v>
      </c>
      <c r="Q49" s="24">
        <f t="shared" si="14"/>
        <v>259286.85035059866</v>
      </c>
      <c r="R49" s="24">
        <f t="shared" si="14"/>
        <v>265353.00593788968</v>
      </c>
      <c r="S49" s="24">
        <f t="shared" si="14"/>
        <v>271478.53206816298</v>
      </c>
      <c r="T49" s="24">
        <f t="shared" si="14"/>
        <v>277813.13982038357</v>
      </c>
      <c r="U49" s="24">
        <f t="shared" si="14"/>
        <v>286192.39555284817</v>
      </c>
    </row>
    <row r="50" spans="1:22" x14ac:dyDescent="0.25">
      <c r="A50" s="3"/>
      <c r="B50" s="3"/>
      <c r="C50" s="4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2" ht="25.5" customHeight="1" x14ac:dyDescent="0.25">
      <c r="A51" s="11" t="s">
        <v>50</v>
      </c>
      <c r="B51" s="34" t="s">
        <v>48</v>
      </c>
      <c r="C51" s="34" t="s">
        <v>17</v>
      </c>
      <c r="D51" s="34">
        <v>2018</v>
      </c>
      <c r="E51" s="34">
        <v>2019</v>
      </c>
      <c r="F51" s="34">
        <v>2020</v>
      </c>
      <c r="G51" s="34">
        <v>2021</v>
      </c>
      <c r="H51" s="34">
        <v>2022</v>
      </c>
      <c r="I51" s="34">
        <v>2023</v>
      </c>
      <c r="J51" s="34">
        <v>2024</v>
      </c>
      <c r="K51" s="34">
        <v>2025</v>
      </c>
      <c r="L51" s="34">
        <v>2026</v>
      </c>
      <c r="M51" s="34">
        <v>2027</v>
      </c>
      <c r="N51" s="34">
        <v>2028</v>
      </c>
      <c r="O51" s="34">
        <v>2029</v>
      </c>
      <c r="P51" s="34">
        <v>2030</v>
      </c>
      <c r="Q51" s="34">
        <v>2031</v>
      </c>
      <c r="R51" s="34">
        <v>2032</v>
      </c>
      <c r="S51" s="34">
        <v>2033</v>
      </c>
      <c r="T51" s="34">
        <v>2034</v>
      </c>
      <c r="U51" s="34">
        <v>2035</v>
      </c>
    </row>
    <row r="52" spans="1:22" x14ac:dyDescent="0.25">
      <c r="A52" s="11" t="s">
        <v>51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</row>
    <row r="53" spans="1:22" ht="38.25" x14ac:dyDescent="0.25">
      <c r="A53" s="14" t="s">
        <v>36</v>
      </c>
      <c r="B53" s="11" t="s">
        <v>52</v>
      </c>
      <c r="C53" s="12" t="s">
        <v>19</v>
      </c>
      <c r="D53" s="13">
        <f>D47*D40*D44</f>
        <v>46274.327179992593</v>
      </c>
      <c r="E53" s="13">
        <f t="shared" ref="E53:U53" si="15">E47*E40*E44</f>
        <v>64391.874654520798</v>
      </c>
      <c r="F53" s="13">
        <f t="shared" si="15"/>
        <v>75500.005914639609</v>
      </c>
      <c r="G53" s="13">
        <f t="shared" si="15"/>
        <v>75877.725366300903</v>
      </c>
      <c r="H53" s="13">
        <f t="shared" si="15"/>
        <v>76257.012118591505</v>
      </c>
      <c r="I53" s="13">
        <f t="shared" si="15"/>
        <v>76637.866171511399</v>
      </c>
      <c r="J53" s="13">
        <f t="shared" si="15"/>
        <v>77020.287525060601</v>
      </c>
      <c r="K53" s="13">
        <f t="shared" si="15"/>
        <v>77405.843479868403</v>
      </c>
      <c r="L53" s="13">
        <f t="shared" si="15"/>
        <v>77792.966735305497</v>
      </c>
      <c r="M53" s="13">
        <f t="shared" si="15"/>
        <v>78181.657291371914</v>
      </c>
      <c r="N53" s="13">
        <f t="shared" si="15"/>
        <v>78571.915148067608</v>
      </c>
      <c r="O53" s="13">
        <f t="shared" si="15"/>
        <v>78965.307606021903</v>
      </c>
      <c r="P53" s="13">
        <f t="shared" si="15"/>
        <v>79360.267364605505</v>
      </c>
      <c r="Q53" s="13">
        <f t="shared" si="15"/>
        <v>79756.794423818399</v>
      </c>
      <c r="R53" s="13">
        <f t="shared" si="15"/>
        <v>80154.888783660601</v>
      </c>
      <c r="S53" s="13">
        <f t="shared" si="15"/>
        <v>80556.117744761403</v>
      </c>
      <c r="T53" s="13">
        <f t="shared" si="15"/>
        <v>80958.914006491512</v>
      </c>
      <c r="U53" s="13">
        <f t="shared" si="15"/>
        <v>109017.3</v>
      </c>
    </row>
    <row r="54" spans="1:22" ht="25.5" x14ac:dyDescent="0.25">
      <c r="A54" s="11" t="s">
        <v>37</v>
      </c>
      <c r="B54" s="11" t="s">
        <v>43</v>
      </c>
      <c r="C54" s="12" t="s">
        <v>19</v>
      </c>
      <c r="D54" s="13">
        <f>D46*D44</f>
        <v>7800</v>
      </c>
      <c r="E54" s="13">
        <f t="shared" ref="E54:U54" si="16">E46*E44</f>
        <v>10800</v>
      </c>
      <c r="F54" s="13">
        <f t="shared" si="16"/>
        <v>12600</v>
      </c>
      <c r="G54" s="13">
        <f t="shared" si="16"/>
        <v>12600</v>
      </c>
      <c r="H54" s="13">
        <f t="shared" si="16"/>
        <v>12600</v>
      </c>
      <c r="I54" s="13">
        <f t="shared" si="16"/>
        <v>12600</v>
      </c>
      <c r="J54" s="13">
        <f t="shared" si="16"/>
        <v>12600</v>
      </c>
      <c r="K54" s="13">
        <f t="shared" si="16"/>
        <v>12600</v>
      </c>
      <c r="L54" s="13">
        <f t="shared" si="16"/>
        <v>12600</v>
      </c>
      <c r="M54" s="13">
        <f t="shared" si="16"/>
        <v>12600</v>
      </c>
      <c r="N54" s="13">
        <f t="shared" si="16"/>
        <v>12600</v>
      </c>
      <c r="O54" s="13">
        <f t="shared" si="16"/>
        <v>12600</v>
      </c>
      <c r="P54" s="13">
        <f t="shared" si="16"/>
        <v>12600</v>
      </c>
      <c r="Q54" s="13">
        <f t="shared" si="16"/>
        <v>12600</v>
      </c>
      <c r="R54" s="13">
        <f t="shared" si="16"/>
        <v>12600</v>
      </c>
      <c r="S54" s="13">
        <f t="shared" si="16"/>
        <v>12600</v>
      </c>
      <c r="T54" s="13">
        <f t="shared" si="16"/>
        <v>12600</v>
      </c>
      <c r="U54" s="13">
        <f t="shared" si="16"/>
        <v>12600</v>
      </c>
    </row>
    <row r="55" spans="1:22" ht="76.5" x14ac:dyDescent="0.25">
      <c r="A55" s="11" t="s">
        <v>38</v>
      </c>
      <c r="B55" s="11" t="s">
        <v>44</v>
      </c>
      <c r="C55" s="12" t="s">
        <v>19</v>
      </c>
      <c r="D55" s="13">
        <f>(D41*D39*D43*D45)-(D42*D39*D43*D45)</f>
        <v>0</v>
      </c>
      <c r="E55" s="13">
        <f t="shared" ref="E55:U55" si="17">(E41*E39*E43*E45)-(E42*E39*E43*E45)</f>
        <v>235348.92848700006</v>
      </c>
      <c r="F55" s="13">
        <f t="shared" si="17"/>
        <v>468652.28988270555</v>
      </c>
      <c r="G55" s="13">
        <f t="shared" si="17"/>
        <v>743257.41964133736</v>
      </c>
      <c r="H55" s="13">
        <f t="shared" si="17"/>
        <v>1083316.5045052562</v>
      </c>
      <c r="I55" s="13">
        <f t="shared" si="17"/>
        <v>1272635.1393412105</v>
      </c>
      <c r="J55" s="13">
        <f t="shared" si="17"/>
        <v>1320745.2789536999</v>
      </c>
      <c r="K55" s="13">
        <f t="shared" si="17"/>
        <v>1340913.8300502633</v>
      </c>
      <c r="L55" s="13">
        <f t="shared" si="17"/>
        <v>1361563.2059614398</v>
      </c>
      <c r="M55" s="13">
        <f t="shared" si="17"/>
        <v>1382205.1384608117</v>
      </c>
      <c r="N55" s="13">
        <f t="shared" si="17"/>
        <v>1403428.4210100023</v>
      </c>
      <c r="O55" s="13">
        <f t="shared" si="17"/>
        <v>1424980.1538990068</v>
      </c>
      <c r="P55" s="13">
        <f t="shared" si="17"/>
        <v>1446741.6342974785</v>
      </c>
      <c r="Q55" s="13">
        <f t="shared" si="17"/>
        <v>1468810.9193619704</v>
      </c>
      <c r="R55" s="13">
        <f t="shared" si="17"/>
        <v>1491390.1956625921</v>
      </c>
      <c r="S55" s="13">
        <f t="shared" si="17"/>
        <v>1514003.0848438861</v>
      </c>
      <c r="T55" s="13">
        <f t="shared" si="17"/>
        <v>1536936.6871343034</v>
      </c>
      <c r="U55" s="13">
        <f t="shared" si="17"/>
        <v>1618879.5035349946</v>
      </c>
      <c r="V55" s="36" t="s">
        <v>55</v>
      </c>
    </row>
    <row r="56" spans="1:22" ht="38.25" x14ac:dyDescent="0.25">
      <c r="A56" s="11" t="s">
        <v>39</v>
      </c>
      <c r="B56" s="11" t="s">
        <v>45</v>
      </c>
      <c r="C56" s="12" t="s">
        <v>19</v>
      </c>
      <c r="D56" s="13">
        <f>D42*D40*D43*D45</f>
        <v>2236636.2598828487</v>
      </c>
      <c r="E56" s="13">
        <f t="shared" ref="E56:U56" si="18">E42*E40*E43*E45</f>
        <v>2051551.0108618559</v>
      </c>
      <c r="F56" s="13">
        <f t="shared" si="18"/>
        <v>1874626.9130322183</v>
      </c>
      <c r="G56" s="13">
        <f t="shared" si="18"/>
        <v>1654813.7169090151</v>
      </c>
      <c r="H56" s="13">
        <f t="shared" si="18"/>
        <v>1367062.6818497041</v>
      </c>
      <c r="I56" s="13">
        <f t="shared" si="18"/>
        <v>1231808.9548083059</v>
      </c>
      <c r="J56" s="13">
        <f t="shared" si="18"/>
        <v>1241978.8591487699</v>
      </c>
      <c r="K56" s="13">
        <f t="shared" si="18"/>
        <v>1282277.1812013902</v>
      </c>
      <c r="L56" s="13">
        <f t="shared" si="18"/>
        <v>1323550.5323162761</v>
      </c>
      <c r="M56" s="13">
        <f t="shared" si="18"/>
        <v>1366320.7873439137</v>
      </c>
      <c r="N56" s="13">
        <f t="shared" si="18"/>
        <v>1410212.0452698614</v>
      </c>
      <c r="O56" s="13">
        <f t="shared" si="18"/>
        <v>1455533.4944905799</v>
      </c>
      <c r="P56" s="13">
        <f t="shared" si="18"/>
        <v>1502174.732825208</v>
      </c>
      <c r="Q56" s="13">
        <f t="shared" si="18"/>
        <v>1550274.4904213951</v>
      </c>
      <c r="R56" s="13">
        <f t="shared" si="18"/>
        <v>1600090.9868084232</v>
      </c>
      <c r="S56" s="13">
        <f t="shared" si="18"/>
        <v>1650583.1822293084</v>
      </c>
      <c r="T56" s="13">
        <f t="shared" si="18"/>
        <v>1703262.076703808</v>
      </c>
      <c r="U56" s="13">
        <f t="shared" si="18"/>
        <v>1693811.9430991837</v>
      </c>
      <c r="V56" s="36"/>
    </row>
    <row r="57" spans="1:22" ht="11.25" customHeight="1" x14ac:dyDescent="0.25">
      <c r="A57" s="11" t="s">
        <v>40</v>
      </c>
      <c r="B57" s="11"/>
      <c r="C57" s="12" t="s">
        <v>19</v>
      </c>
      <c r="D57" s="13">
        <f>SUM(D53:D56)</f>
        <v>2290710.5870628413</v>
      </c>
      <c r="E57" s="13">
        <f t="shared" ref="E57" si="19">SUM(E53:E56)</f>
        <v>2362091.8140033768</v>
      </c>
      <c r="F57" s="13">
        <f t="shared" ref="F57" si="20">SUM(F53:F56)</f>
        <v>2431379.2088295636</v>
      </c>
      <c r="G57" s="13">
        <f t="shared" ref="G57" si="21">SUM(G53:G56)</f>
        <v>2486548.8619166533</v>
      </c>
      <c r="H57" s="13">
        <f t="shared" ref="H57" si="22">SUM(H53:H56)</f>
        <v>2539236.1984735518</v>
      </c>
      <c r="I57" s="13">
        <f t="shared" ref="I57" si="23">SUM(I53:I56)</f>
        <v>2593681.9603210278</v>
      </c>
      <c r="J57" s="13">
        <f t="shared" ref="J57" si="24">SUM(J53:J56)</f>
        <v>2652344.4256275306</v>
      </c>
      <c r="K57" s="13">
        <f t="shared" ref="K57" si="25">SUM(K53:K56)</f>
        <v>2713196.854731522</v>
      </c>
      <c r="L57" s="13">
        <f t="shared" ref="L57" si="26">SUM(L53:L56)</f>
        <v>2775506.7050130214</v>
      </c>
      <c r="M57" s="13">
        <f t="shared" ref="M57" si="27">SUM(M53:M56)</f>
        <v>2839307.5830960972</v>
      </c>
      <c r="N57" s="13">
        <f t="shared" ref="N57" si="28">SUM(N53:N56)</f>
        <v>2904812.3814279311</v>
      </c>
      <c r="O57" s="13">
        <f t="shared" ref="O57" si="29">SUM(O53:O56)</f>
        <v>2972078.9559956086</v>
      </c>
      <c r="P57" s="13">
        <f t="shared" ref="P57" si="30">SUM(P53:P56)</f>
        <v>3040876.6344872918</v>
      </c>
      <c r="Q57" s="13">
        <f t="shared" ref="Q57" si="31">SUM(Q53:Q56)</f>
        <v>3111442.2042071838</v>
      </c>
      <c r="R57" s="13">
        <f t="shared" ref="R57" si="32">SUM(R53:R56)</f>
        <v>3184236.0712546762</v>
      </c>
      <c r="S57" s="13">
        <f t="shared" ref="S57" si="33">SUM(S53:S56)</f>
        <v>3257742.384817956</v>
      </c>
      <c r="T57" s="13">
        <f t="shared" ref="T57" si="34">SUM(T53:T56)</f>
        <v>3333757.6778446026</v>
      </c>
      <c r="U57" s="13">
        <f t="shared" ref="U57" si="35">SUM(U53:U56)</f>
        <v>3434308.7466341783</v>
      </c>
      <c r="V57" s="33">
        <f>SUM(D57:U57)</f>
        <v>50923259.255744614</v>
      </c>
    </row>
    <row r="58" spans="1:22" x14ac:dyDescent="0.25">
      <c r="A58" s="11" t="s">
        <v>49</v>
      </c>
      <c r="B58" s="11"/>
      <c r="C58" s="11" t="s">
        <v>19</v>
      </c>
      <c r="D58" s="13">
        <f>D57/12</f>
        <v>190892.54892190345</v>
      </c>
      <c r="E58" s="13">
        <f t="shared" ref="E58" si="36">E57/12</f>
        <v>196840.9845002814</v>
      </c>
      <c r="F58" s="13">
        <f t="shared" ref="F58" si="37">F57/12</f>
        <v>202614.93406913031</v>
      </c>
      <c r="G58" s="13">
        <f t="shared" ref="G58" si="38">G57/12</f>
        <v>207212.40515972112</v>
      </c>
      <c r="H58" s="13">
        <f t="shared" ref="H58" si="39">H57/12</f>
        <v>211603.01653946264</v>
      </c>
      <c r="I58" s="13">
        <f t="shared" ref="I58" si="40">I57/12</f>
        <v>216140.16336008566</v>
      </c>
      <c r="J58" s="13">
        <f t="shared" ref="J58" si="41">J57/12</f>
        <v>221028.70213562754</v>
      </c>
      <c r="K58" s="13">
        <f t="shared" ref="K58" si="42">K57/12</f>
        <v>226099.7378942935</v>
      </c>
      <c r="L58" s="13">
        <f t="shared" ref="L58" si="43">L57/12</f>
        <v>231292.22541775179</v>
      </c>
      <c r="M58" s="13">
        <f t="shared" ref="M58" si="44">M57/12</f>
        <v>236608.9652580081</v>
      </c>
      <c r="N58" s="13">
        <f t="shared" ref="N58" si="45">N57/12</f>
        <v>242067.6984523276</v>
      </c>
      <c r="O58" s="13">
        <f t="shared" ref="O58" si="46">O57/12</f>
        <v>247673.24633296739</v>
      </c>
      <c r="P58" s="13">
        <f t="shared" ref="P58" si="47">P57/12</f>
        <v>253406.38620727431</v>
      </c>
      <c r="Q58" s="13">
        <f t="shared" ref="Q58" si="48">Q57/12</f>
        <v>259286.85035059866</v>
      </c>
      <c r="R58" s="13">
        <f t="shared" ref="R58" si="49">R57/12</f>
        <v>265353.00593788968</v>
      </c>
      <c r="S58" s="13">
        <f t="shared" ref="S58" si="50">S57/12</f>
        <v>271478.53206816298</v>
      </c>
      <c r="T58" s="13">
        <f t="shared" ref="T58" si="51">T57/12</f>
        <v>277813.13982038357</v>
      </c>
      <c r="U58" s="13">
        <f t="shared" ref="U58" si="52">U57/12</f>
        <v>286192.39555284817</v>
      </c>
    </row>
    <row r="69" spans="1:21" ht="45.75" customHeight="1" x14ac:dyDescent="0.25">
      <c r="A69" s="40" t="s">
        <v>54</v>
      </c>
      <c r="B69" s="40"/>
      <c r="C69" s="40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</row>
    <row r="70" spans="1:21" x14ac:dyDescent="0.25">
      <c r="A70" s="39" t="s">
        <v>0</v>
      </c>
      <c r="B70" s="39"/>
      <c r="C70" s="39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ht="25.5" x14ac:dyDescent="0.25">
      <c r="A71" s="8" t="s">
        <v>13</v>
      </c>
      <c r="B71" s="6" t="s">
        <v>14</v>
      </c>
      <c r="C71" s="8" t="s">
        <v>32</v>
      </c>
    </row>
    <row r="72" spans="1:21" ht="38.25" x14ac:dyDescent="0.25">
      <c r="A72" s="6" t="s">
        <v>2</v>
      </c>
      <c r="B72" s="6" t="s">
        <v>15</v>
      </c>
      <c r="C72" s="10">
        <f>E72*24000/20</f>
        <v>600000</v>
      </c>
      <c r="D72" s="1" t="s">
        <v>33</v>
      </c>
      <c r="E72" s="1">
        <v>500</v>
      </c>
    </row>
    <row r="73" spans="1:21" ht="25.5" x14ac:dyDescent="0.25">
      <c r="A73" s="6" t="s">
        <v>3</v>
      </c>
      <c r="B73" s="6" t="s">
        <v>16</v>
      </c>
      <c r="C73" s="7">
        <v>74.633363299999999</v>
      </c>
    </row>
    <row r="74" spans="1:21" ht="25.5" x14ac:dyDescent="0.25">
      <c r="A74" s="8" t="s">
        <v>1</v>
      </c>
      <c r="B74" s="6"/>
      <c r="C74" s="6"/>
    </row>
    <row r="75" spans="1:21" ht="38.25" customHeight="1" x14ac:dyDescent="0.25">
      <c r="A75" s="39" t="s">
        <v>31</v>
      </c>
      <c r="B75" s="39"/>
      <c r="C75" s="39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25.5" x14ac:dyDescent="0.25">
      <c r="A76" s="8" t="s">
        <v>6</v>
      </c>
      <c r="B76" s="8" t="s">
        <v>14</v>
      </c>
      <c r="C76" s="8" t="s">
        <v>17</v>
      </c>
      <c r="D76" s="16">
        <v>2018</v>
      </c>
      <c r="E76" s="16">
        <v>2019</v>
      </c>
      <c r="F76" s="16">
        <v>2020</v>
      </c>
      <c r="G76" s="16">
        <v>2021</v>
      </c>
      <c r="H76" s="16">
        <v>2022</v>
      </c>
      <c r="I76" s="16">
        <v>2023</v>
      </c>
      <c r="J76" s="16">
        <v>2024</v>
      </c>
      <c r="K76" s="16">
        <v>2025</v>
      </c>
      <c r="L76" s="16">
        <v>2026</v>
      </c>
      <c r="M76" s="16">
        <v>2027</v>
      </c>
      <c r="N76" s="16">
        <v>2028</v>
      </c>
      <c r="O76" s="16">
        <v>2029</v>
      </c>
      <c r="P76" s="16">
        <v>2030</v>
      </c>
      <c r="Q76" s="16">
        <v>2031</v>
      </c>
      <c r="R76" s="16">
        <v>2032</v>
      </c>
      <c r="S76" s="16">
        <v>2033</v>
      </c>
      <c r="T76" s="16">
        <v>2034</v>
      </c>
      <c r="U76" s="16">
        <v>2035</v>
      </c>
    </row>
    <row r="77" spans="1:21" ht="25.5" x14ac:dyDescent="0.25">
      <c r="A77" s="17" t="s">
        <v>7</v>
      </c>
      <c r="B77" s="17" t="s">
        <v>18</v>
      </c>
      <c r="C77" s="17" t="s">
        <v>19</v>
      </c>
      <c r="D77" s="23">
        <v>47694</v>
      </c>
      <c r="E77" s="23">
        <v>47694</v>
      </c>
      <c r="F77" s="23">
        <v>47694</v>
      </c>
      <c r="G77" s="23">
        <v>47694</v>
      </c>
      <c r="H77" s="23">
        <v>47694</v>
      </c>
      <c r="I77" s="23">
        <v>47694</v>
      </c>
      <c r="J77" s="23">
        <v>47694</v>
      </c>
      <c r="K77" s="23">
        <v>47694</v>
      </c>
      <c r="L77" s="23">
        <v>47694</v>
      </c>
      <c r="M77" s="23">
        <v>47694</v>
      </c>
      <c r="N77" s="23">
        <v>47694</v>
      </c>
      <c r="O77" s="23">
        <v>47694</v>
      </c>
      <c r="P77" s="23">
        <v>47694</v>
      </c>
      <c r="Q77" s="23">
        <v>47694</v>
      </c>
      <c r="R77" s="23">
        <v>47694</v>
      </c>
      <c r="S77" s="23">
        <v>47694</v>
      </c>
      <c r="T77" s="23">
        <v>47694</v>
      </c>
      <c r="U77" s="23">
        <v>47694</v>
      </c>
    </row>
    <row r="78" spans="1:21" x14ac:dyDescent="0.25">
      <c r="A78" s="17" t="s">
        <v>8</v>
      </c>
      <c r="B78" s="17" t="s">
        <v>23</v>
      </c>
      <c r="C78" s="17" t="s">
        <v>19</v>
      </c>
      <c r="D78" s="23">
        <v>47694</v>
      </c>
      <c r="E78" s="23">
        <v>47932</v>
      </c>
      <c r="F78" s="23">
        <v>48172</v>
      </c>
      <c r="G78" s="23">
        <v>48413</v>
      </c>
      <c r="H78" s="23">
        <v>48655</v>
      </c>
      <c r="I78" s="23">
        <v>48898</v>
      </c>
      <c r="J78" s="23">
        <v>49142</v>
      </c>
      <c r="K78" s="23">
        <v>49388</v>
      </c>
      <c r="L78" s="23">
        <v>49635</v>
      </c>
      <c r="M78" s="23">
        <v>49883</v>
      </c>
      <c r="N78" s="23">
        <v>50132</v>
      </c>
      <c r="O78" s="23">
        <v>50383</v>
      </c>
      <c r="P78" s="23">
        <v>50635</v>
      </c>
      <c r="Q78" s="23">
        <v>50888</v>
      </c>
      <c r="R78" s="23">
        <v>51142</v>
      </c>
      <c r="S78" s="23">
        <v>51398</v>
      </c>
      <c r="T78" s="23">
        <v>51655</v>
      </c>
      <c r="U78" s="23">
        <v>51913</v>
      </c>
    </row>
    <row r="79" spans="1:21" ht="25.5" x14ac:dyDescent="0.25">
      <c r="A79" s="18" t="s">
        <v>4</v>
      </c>
      <c r="B79" s="41" t="s">
        <v>24</v>
      </c>
      <c r="C79" s="18" t="s">
        <v>20</v>
      </c>
      <c r="D79" s="45">
        <v>108.83</v>
      </c>
      <c r="E79" s="45">
        <v>108.83</v>
      </c>
      <c r="F79" s="45">
        <v>108.83</v>
      </c>
      <c r="G79" s="45">
        <v>108.83</v>
      </c>
      <c r="H79" s="45">
        <v>108.83</v>
      </c>
      <c r="I79" s="45">
        <v>108.83</v>
      </c>
      <c r="J79" s="45">
        <v>108.83</v>
      </c>
      <c r="K79" s="45">
        <v>108.83</v>
      </c>
      <c r="L79" s="45">
        <v>108.83</v>
      </c>
      <c r="M79" s="45">
        <v>108.83</v>
      </c>
      <c r="N79" s="45">
        <v>108.83</v>
      </c>
      <c r="O79" s="45">
        <v>108.83</v>
      </c>
      <c r="P79" s="45">
        <v>108.83</v>
      </c>
      <c r="Q79" s="45">
        <v>108.83</v>
      </c>
      <c r="R79" s="45">
        <v>108.83</v>
      </c>
      <c r="S79" s="45">
        <v>108.83</v>
      </c>
      <c r="T79" s="45">
        <v>108.83</v>
      </c>
      <c r="U79" s="45">
        <v>108.83</v>
      </c>
    </row>
    <row r="80" spans="1:21" x14ac:dyDescent="0.25">
      <c r="A80" s="19" t="s">
        <v>42</v>
      </c>
      <c r="B80" s="41"/>
      <c r="C80" s="19" t="s">
        <v>34</v>
      </c>
      <c r="D80" s="46">
        <f>D79/1000000</f>
        <v>1.0883E-4</v>
      </c>
      <c r="E80" s="46">
        <f>E79/1000000</f>
        <v>1.0883E-4</v>
      </c>
      <c r="F80" s="46">
        <f t="shared" ref="F80:U80" si="53">F79/1000000</f>
        <v>1.0883E-4</v>
      </c>
      <c r="G80" s="46">
        <f t="shared" si="53"/>
        <v>1.0883E-4</v>
      </c>
      <c r="H80" s="46">
        <f t="shared" si="53"/>
        <v>1.0883E-4</v>
      </c>
      <c r="I80" s="46">
        <f t="shared" si="53"/>
        <v>1.0883E-4</v>
      </c>
      <c r="J80" s="46">
        <f t="shared" si="53"/>
        <v>1.0883E-4</v>
      </c>
      <c r="K80" s="46">
        <f t="shared" si="53"/>
        <v>1.0883E-4</v>
      </c>
      <c r="L80" s="46">
        <f t="shared" si="53"/>
        <v>1.0883E-4</v>
      </c>
      <c r="M80" s="46">
        <f t="shared" si="53"/>
        <v>1.0883E-4</v>
      </c>
      <c r="N80" s="46">
        <f t="shared" si="53"/>
        <v>1.0883E-4</v>
      </c>
      <c r="O80" s="46">
        <f t="shared" si="53"/>
        <v>1.0883E-4</v>
      </c>
      <c r="P80" s="46">
        <f t="shared" si="53"/>
        <v>1.0883E-4</v>
      </c>
      <c r="Q80" s="46">
        <f t="shared" si="53"/>
        <v>1.0883E-4</v>
      </c>
      <c r="R80" s="46">
        <f t="shared" si="53"/>
        <v>1.0883E-4</v>
      </c>
      <c r="S80" s="46">
        <f t="shared" si="53"/>
        <v>1.0883E-4</v>
      </c>
      <c r="T80" s="46">
        <f t="shared" si="53"/>
        <v>1.0883E-4</v>
      </c>
      <c r="U80" s="46">
        <f t="shared" si="53"/>
        <v>1.0883E-4</v>
      </c>
    </row>
    <row r="81" spans="1:22" ht="25.5" x14ac:dyDescent="0.25">
      <c r="A81" s="18" t="s">
        <v>5</v>
      </c>
      <c r="B81" s="41" t="s">
        <v>35</v>
      </c>
      <c r="C81" s="18" t="s">
        <v>20</v>
      </c>
      <c r="D81" s="45">
        <v>108.83</v>
      </c>
      <c r="E81" s="45">
        <v>97.58</v>
      </c>
      <c r="F81" s="45">
        <v>86.89</v>
      </c>
      <c r="G81" s="45">
        <v>74.75</v>
      </c>
      <c r="H81" s="45">
        <v>60.18</v>
      </c>
      <c r="I81" s="45">
        <v>52.85</v>
      </c>
      <c r="J81" s="45">
        <v>51.93</v>
      </c>
      <c r="K81" s="45">
        <v>52.25</v>
      </c>
      <c r="L81" s="45">
        <v>52.56</v>
      </c>
      <c r="M81" s="45">
        <v>52.88</v>
      </c>
      <c r="N81" s="45">
        <v>53.19</v>
      </c>
      <c r="O81" s="45">
        <v>53.5</v>
      </c>
      <c r="P81" s="45">
        <v>53.81</v>
      </c>
      <c r="Q81" s="45">
        <v>54.12</v>
      </c>
      <c r="R81" s="45">
        <v>54.43</v>
      </c>
      <c r="S81" s="45">
        <v>54.73</v>
      </c>
      <c r="T81" s="45">
        <v>55.04</v>
      </c>
      <c r="U81" s="45">
        <v>53.34</v>
      </c>
    </row>
    <row r="82" spans="1:22" x14ac:dyDescent="0.25">
      <c r="A82" s="19" t="s">
        <v>42</v>
      </c>
      <c r="B82" s="41"/>
      <c r="C82" s="19" t="s">
        <v>34</v>
      </c>
      <c r="D82" s="46">
        <f>D81/1000000</f>
        <v>1.0883E-4</v>
      </c>
      <c r="E82" s="46">
        <f>E81/1000000</f>
        <v>9.7579999999999997E-5</v>
      </c>
      <c r="F82" s="46">
        <f t="shared" ref="F82:U82" si="54">F81/1000000</f>
        <v>8.6890000000000003E-5</v>
      </c>
      <c r="G82" s="46">
        <f t="shared" si="54"/>
        <v>7.4750000000000001E-5</v>
      </c>
      <c r="H82" s="46">
        <f t="shared" si="54"/>
        <v>6.0179999999999996E-5</v>
      </c>
      <c r="I82" s="46">
        <f t="shared" si="54"/>
        <v>5.2850000000000004E-5</v>
      </c>
      <c r="J82" s="46">
        <f t="shared" si="54"/>
        <v>5.1929999999999999E-5</v>
      </c>
      <c r="K82" s="46">
        <f t="shared" si="54"/>
        <v>5.2250000000000003E-5</v>
      </c>
      <c r="L82" s="46">
        <f t="shared" si="54"/>
        <v>5.2560000000000005E-5</v>
      </c>
      <c r="M82" s="46">
        <f t="shared" si="54"/>
        <v>5.2880000000000002E-5</v>
      </c>
      <c r="N82" s="46">
        <f t="shared" si="54"/>
        <v>5.3189999999999997E-5</v>
      </c>
      <c r="O82" s="46">
        <f t="shared" si="54"/>
        <v>5.3499999999999999E-5</v>
      </c>
      <c r="P82" s="46">
        <f t="shared" si="54"/>
        <v>5.3810000000000001E-5</v>
      </c>
      <c r="Q82" s="46">
        <f t="shared" si="54"/>
        <v>5.4119999999999997E-5</v>
      </c>
      <c r="R82" s="46">
        <f t="shared" si="54"/>
        <v>5.4429999999999999E-5</v>
      </c>
      <c r="S82" s="46">
        <f t="shared" si="54"/>
        <v>5.4729999999999999E-5</v>
      </c>
      <c r="T82" s="46">
        <f t="shared" si="54"/>
        <v>5.5040000000000002E-5</v>
      </c>
      <c r="U82" s="46">
        <f t="shared" si="54"/>
        <v>5.3340000000000001E-5</v>
      </c>
    </row>
    <row r="83" spans="1:22" ht="25.5" x14ac:dyDescent="0.25">
      <c r="A83" s="17" t="s">
        <v>9</v>
      </c>
      <c r="B83" s="17" t="s">
        <v>25</v>
      </c>
      <c r="C83" s="17" t="s">
        <v>21</v>
      </c>
      <c r="D83" s="25">
        <v>4107</v>
      </c>
      <c r="E83" s="25">
        <v>4107</v>
      </c>
      <c r="F83" s="25">
        <v>4107</v>
      </c>
      <c r="G83" s="25">
        <v>4107</v>
      </c>
      <c r="H83" s="25">
        <v>4107</v>
      </c>
      <c r="I83" s="25">
        <v>4107</v>
      </c>
      <c r="J83" s="25">
        <v>4107</v>
      </c>
      <c r="K83" s="25">
        <v>4107</v>
      </c>
      <c r="L83" s="25">
        <v>4107</v>
      </c>
      <c r="M83" s="25">
        <v>4107</v>
      </c>
      <c r="N83" s="25">
        <v>4107</v>
      </c>
      <c r="O83" s="25">
        <v>4107</v>
      </c>
      <c r="P83" s="25">
        <v>4107</v>
      </c>
      <c r="Q83" s="25">
        <v>4107</v>
      </c>
      <c r="R83" s="25">
        <v>4107</v>
      </c>
      <c r="S83" s="25">
        <v>4107</v>
      </c>
      <c r="T83" s="25">
        <v>4107</v>
      </c>
      <c r="U83" s="25">
        <v>4107</v>
      </c>
    </row>
    <row r="84" spans="1:22" x14ac:dyDescent="0.25">
      <c r="A84" s="17" t="s">
        <v>10</v>
      </c>
      <c r="B84" s="17" t="s">
        <v>26</v>
      </c>
      <c r="C84" s="17" t="s">
        <v>22</v>
      </c>
      <c r="D84" s="27">
        <v>1.2999999999999999E-2</v>
      </c>
      <c r="E84" s="27">
        <v>1.7999999999999999E-2</v>
      </c>
      <c r="F84" s="27">
        <v>2.1000000000000001E-2</v>
      </c>
      <c r="G84" s="27">
        <v>2.1000000000000001E-2</v>
      </c>
      <c r="H84" s="27">
        <v>2.1000000000000001E-2</v>
      </c>
      <c r="I84" s="27">
        <v>2.1000000000000001E-2</v>
      </c>
      <c r="J84" s="27">
        <v>2.1000000000000001E-2</v>
      </c>
      <c r="K84" s="27">
        <v>2.1000000000000001E-2</v>
      </c>
      <c r="L84" s="27">
        <v>2.1000000000000001E-2</v>
      </c>
      <c r="M84" s="27">
        <v>2.1000000000000001E-2</v>
      </c>
      <c r="N84" s="27">
        <v>2.1000000000000001E-2</v>
      </c>
      <c r="O84" s="27">
        <v>2.1000000000000001E-2</v>
      </c>
      <c r="P84" s="27">
        <v>2.1000000000000001E-2</v>
      </c>
      <c r="Q84" s="27">
        <v>2.1000000000000001E-2</v>
      </c>
      <c r="R84" s="27">
        <v>2.1000000000000001E-2</v>
      </c>
      <c r="S84" s="27">
        <v>2.1000000000000001E-2</v>
      </c>
      <c r="T84" s="27">
        <v>2.1000000000000001E-2</v>
      </c>
      <c r="U84" s="27">
        <v>2.1000000000000001E-2</v>
      </c>
    </row>
    <row r="85" spans="1:22" s="2" customFormat="1" ht="25.5" x14ac:dyDescent="0.25">
      <c r="A85" s="20" t="s">
        <v>11</v>
      </c>
      <c r="B85" s="20" t="s">
        <v>27</v>
      </c>
      <c r="C85" s="20" t="s">
        <v>19</v>
      </c>
      <c r="D85" s="21">
        <v>104.92</v>
      </c>
      <c r="E85" s="28">
        <v>106.8</v>
      </c>
      <c r="F85" s="28">
        <v>109.05</v>
      </c>
      <c r="G85" s="21">
        <v>111.34</v>
      </c>
      <c r="H85" s="21">
        <v>113.68</v>
      </c>
      <c r="I85" s="28">
        <v>116.06</v>
      </c>
      <c r="J85" s="21">
        <v>118.5</v>
      </c>
      <c r="K85" s="21">
        <v>120.99</v>
      </c>
      <c r="L85" s="21">
        <v>123.53</v>
      </c>
      <c r="M85" s="21">
        <v>126.12</v>
      </c>
      <c r="N85" s="21">
        <v>128.77000000000001</v>
      </c>
      <c r="O85" s="28">
        <v>131.47999999999999</v>
      </c>
      <c r="P85" s="21">
        <v>134.24</v>
      </c>
      <c r="Q85" s="21">
        <v>137.06</v>
      </c>
      <c r="R85" s="28">
        <v>139.96</v>
      </c>
      <c r="S85" s="28">
        <v>142.87</v>
      </c>
      <c r="T85" s="21">
        <v>145.87</v>
      </c>
      <c r="U85" s="28">
        <v>148.94</v>
      </c>
    </row>
    <row r="86" spans="1:22" ht="25.5" customHeight="1" x14ac:dyDescent="0.25">
      <c r="A86" s="17" t="s">
        <v>12</v>
      </c>
      <c r="B86" s="17" t="s">
        <v>15</v>
      </c>
      <c r="C86" s="20" t="s">
        <v>19</v>
      </c>
      <c r="D86" s="44">
        <f>C72</f>
        <v>600000</v>
      </c>
      <c r="E86" s="44">
        <f>D86*(1+D84)</f>
        <v>607799.99999999988</v>
      </c>
      <c r="F86" s="44">
        <f t="shared" ref="F86:U86" si="55">E86*(1+E84)</f>
        <v>618740.39999999991</v>
      </c>
      <c r="G86" s="44">
        <f t="shared" si="55"/>
        <v>631733.94839999988</v>
      </c>
      <c r="H86" s="44">
        <f t="shared" si="55"/>
        <v>645000.36131639977</v>
      </c>
      <c r="I86" s="44">
        <f t="shared" si="55"/>
        <v>658545.36890404415</v>
      </c>
      <c r="J86" s="44">
        <f t="shared" si="55"/>
        <v>672374.82165102905</v>
      </c>
      <c r="K86" s="44">
        <f t="shared" si="55"/>
        <v>686494.69290570065</v>
      </c>
      <c r="L86" s="44">
        <f t="shared" si="55"/>
        <v>700911.08145672025</v>
      </c>
      <c r="M86" s="44">
        <f t="shared" si="55"/>
        <v>715630.21416731132</v>
      </c>
      <c r="N86" s="44">
        <f t="shared" si="55"/>
        <v>730658.44866482483</v>
      </c>
      <c r="O86" s="44">
        <f t="shared" si="55"/>
        <v>746002.27608678606</v>
      </c>
      <c r="P86" s="44">
        <f t="shared" si="55"/>
        <v>761668.32388460846</v>
      </c>
      <c r="Q86" s="44">
        <f t="shared" si="55"/>
        <v>777663.35868618521</v>
      </c>
      <c r="R86" s="44">
        <f t="shared" si="55"/>
        <v>793994.28921859502</v>
      </c>
      <c r="S86" s="44">
        <f t="shared" si="55"/>
        <v>810668.16929218546</v>
      </c>
      <c r="T86" s="44">
        <f t="shared" si="55"/>
        <v>827692.20084732131</v>
      </c>
      <c r="U86" s="44">
        <f t="shared" si="55"/>
        <v>845073.73706511501</v>
      </c>
      <c r="V86" s="36" t="s">
        <v>55</v>
      </c>
    </row>
    <row r="87" spans="1:22" ht="25.5" x14ac:dyDescent="0.25">
      <c r="A87" s="17" t="s">
        <v>28</v>
      </c>
      <c r="B87" s="17" t="s">
        <v>16</v>
      </c>
      <c r="C87" s="20" t="s">
        <v>19</v>
      </c>
      <c r="D87" s="21">
        <f>C73</f>
        <v>74.633363299999999</v>
      </c>
      <c r="E87" s="21">
        <f>D87*(1+D84)</f>
        <v>75.60359702289999</v>
      </c>
      <c r="F87" s="21">
        <f t="shared" ref="F87:U87" si="56">E87*(1+E84)</f>
        <v>76.964461769312194</v>
      </c>
      <c r="G87" s="21">
        <f t="shared" si="56"/>
        <v>78.580715466467737</v>
      </c>
      <c r="H87" s="21">
        <f t="shared" si="56"/>
        <v>80.230910491263558</v>
      </c>
      <c r="I87" s="21">
        <f t="shared" si="56"/>
        <v>81.915759611580086</v>
      </c>
      <c r="J87" s="21">
        <f t="shared" si="56"/>
        <v>83.635990563423263</v>
      </c>
      <c r="K87" s="21">
        <f t="shared" si="56"/>
        <v>85.39234636525515</v>
      </c>
      <c r="L87" s="21">
        <f t="shared" si="56"/>
        <v>87.185585638925502</v>
      </c>
      <c r="M87" s="21">
        <f t="shared" si="56"/>
        <v>89.016482937342928</v>
      </c>
      <c r="N87" s="21">
        <f t="shared" si="56"/>
        <v>90.885829079027118</v>
      </c>
      <c r="O87" s="21">
        <f t="shared" si="56"/>
        <v>92.794431489686673</v>
      </c>
      <c r="P87" s="21">
        <f t="shared" si="56"/>
        <v>94.743114550970091</v>
      </c>
      <c r="Q87" s="21">
        <f t="shared" si="56"/>
        <v>96.73271995654045</v>
      </c>
      <c r="R87" s="21">
        <f t="shared" si="56"/>
        <v>98.764107075627791</v>
      </c>
      <c r="S87" s="21">
        <f t="shared" si="56"/>
        <v>100.83815332421597</v>
      </c>
      <c r="T87" s="21">
        <f t="shared" si="56"/>
        <v>102.95575454402449</v>
      </c>
      <c r="U87" s="21">
        <f t="shared" si="56"/>
        <v>105.117825389449</v>
      </c>
      <c r="V87" s="36"/>
    </row>
    <row r="88" spans="1:22" x14ac:dyDescent="0.25">
      <c r="A88" s="8" t="s">
        <v>29</v>
      </c>
      <c r="B88" s="8"/>
      <c r="C88" s="22" t="s">
        <v>19</v>
      </c>
      <c r="D88" s="23">
        <f>(D87*D78*(1+D84))+(D86*(1+D84))+((D80*D77*D83*D85)-(D82*D77*D83*D85))+(D82*D78*D83*D85)</f>
        <v>6450274.2162930407</v>
      </c>
      <c r="E88" s="23">
        <f t="shared" ref="E88:U88" si="57">E87*E78*(1+E84)+E86*(1+E84)+E80*E77*E83*E85-E82*E77*E83*E85+E82*E78*E83*E85</f>
        <v>6594700.9208755279</v>
      </c>
      <c r="F88" s="23">
        <f t="shared" si="57"/>
        <v>6760403.3767656088</v>
      </c>
      <c r="G88" s="23">
        <f t="shared" si="57"/>
        <v>6927290.567480294</v>
      </c>
      <c r="H88" s="23">
        <f t="shared" si="57"/>
        <v>7094535.839160433</v>
      </c>
      <c r="I88" s="23">
        <f t="shared" si="57"/>
        <v>7266451.5823708158</v>
      </c>
      <c r="J88" s="23">
        <f t="shared" si="57"/>
        <v>7445569.516089539</v>
      </c>
      <c r="K88" s="23">
        <f t="shared" si="57"/>
        <v>7630023.7962436257</v>
      </c>
      <c r="L88" s="23">
        <f t="shared" si="57"/>
        <v>7819077.0830400428</v>
      </c>
      <c r="M88" s="23">
        <f t="shared" si="57"/>
        <v>8012842.18641866</v>
      </c>
      <c r="N88" s="23">
        <f t="shared" si="57"/>
        <v>8211613.1818076223</v>
      </c>
      <c r="O88" s="23">
        <f t="shared" si="57"/>
        <v>8415624.3126957212</v>
      </c>
      <c r="P88" s="23">
        <f t="shared" si="57"/>
        <v>8624641.0008082967</v>
      </c>
      <c r="Q88" s="23">
        <f t="shared" si="57"/>
        <v>8838987.579866508</v>
      </c>
      <c r="R88" s="23">
        <f t="shared" si="57"/>
        <v>9059214.1890702527</v>
      </c>
      <c r="S88" s="23">
        <f t="shared" si="57"/>
        <v>9283998.339974286</v>
      </c>
      <c r="T88" s="23">
        <f t="shared" si="57"/>
        <v>9515133.7713952139</v>
      </c>
      <c r="U88" s="23">
        <f t="shared" si="57"/>
        <v>9747090.0166784171</v>
      </c>
      <c r="V88" s="33">
        <f>SUM(D88:U88)</f>
        <v>143697471.47703391</v>
      </c>
    </row>
    <row r="89" spans="1:22" x14ac:dyDescent="0.25">
      <c r="A89" s="8" t="s">
        <v>30</v>
      </c>
      <c r="B89" s="8"/>
      <c r="C89" s="22" t="s">
        <v>19</v>
      </c>
      <c r="D89" s="43">
        <f>D88/12</f>
        <v>537522.85135775339</v>
      </c>
      <c r="E89" s="43">
        <f t="shared" ref="E89:V89" si="58">E88/12</f>
        <v>549558.41007296066</v>
      </c>
      <c r="F89" s="43">
        <f t="shared" si="58"/>
        <v>563366.94806380069</v>
      </c>
      <c r="G89" s="43">
        <f t="shared" si="58"/>
        <v>577274.21395669121</v>
      </c>
      <c r="H89" s="43">
        <f t="shared" si="58"/>
        <v>591211.31993003609</v>
      </c>
      <c r="I89" s="43">
        <f t="shared" si="58"/>
        <v>605537.63186423469</v>
      </c>
      <c r="J89" s="43">
        <f t="shared" si="58"/>
        <v>620464.12634079496</v>
      </c>
      <c r="K89" s="43">
        <f t="shared" si="58"/>
        <v>635835.31635363551</v>
      </c>
      <c r="L89" s="43">
        <f t="shared" si="58"/>
        <v>651589.75692000357</v>
      </c>
      <c r="M89" s="43">
        <f t="shared" si="58"/>
        <v>667736.84886822163</v>
      </c>
      <c r="N89" s="43">
        <f t="shared" si="58"/>
        <v>684301.09848396853</v>
      </c>
      <c r="O89" s="43">
        <f t="shared" si="58"/>
        <v>701302.02605797676</v>
      </c>
      <c r="P89" s="43">
        <f t="shared" si="58"/>
        <v>718720.08340069139</v>
      </c>
      <c r="Q89" s="43">
        <f t="shared" si="58"/>
        <v>736582.29832220904</v>
      </c>
      <c r="R89" s="43">
        <f t="shared" si="58"/>
        <v>754934.51575585443</v>
      </c>
      <c r="S89" s="43">
        <f t="shared" si="58"/>
        <v>773666.52833119046</v>
      </c>
      <c r="T89" s="43">
        <f t="shared" si="58"/>
        <v>792927.81428293453</v>
      </c>
      <c r="U89" s="43">
        <f t="shared" si="58"/>
        <v>812257.50138986809</v>
      </c>
      <c r="V89" s="9">
        <f t="shared" si="58"/>
        <v>11974789.289752826</v>
      </c>
    </row>
    <row r="91" spans="1:22" ht="25.5" customHeight="1" x14ac:dyDescent="0.25">
      <c r="A91" s="29" t="s">
        <v>50</v>
      </c>
      <c r="B91" s="37" t="s">
        <v>48</v>
      </c>
      <c r="C91" s="37" t="s">
        <v>17</v>
      </c>
      <c r="D91" s="37">
        <v>2018</v>
      </c>
      <c r="E91" s="37">
        <v>2019</v>
      </c>
      <c r="F91" s="37">
        <v>2020</v>
      </c>
      <c r="G91" s="37">
        <v>2021</v>
      </c>
      <c r="H91" s="37">
        <v>2022</v>
      </c>
      <c r="I91" s="37">
        <v>2023</v>
      </c>
      <c r="J91" s="37">
        <v>2024</v>
      </c>
      <c r="K91" s="37">
        <v>2025</v>
      </c>
      <c r="L91" s="37">
        <v>2026</v>
      </c>
      <c r="M91" s="37">
        <v>2027</v>
      </c>
      <c r="N91" s="37">
        <v>2028</v>
      </c>
      <c r="O91" s="37">
        <v>2029</v>
      </c>
      <c r="P91" s="37">
        <v>2030</v>
      </c>
      <c r="Q91" s="37">
        <v>2031</v>
      </c>
      <c r="R91" s="37">
        <v>2032</v>
      </c>
      <c r="S91" s="37">
        <v>2033</v>
      </c>
      <c r="T91" s="37">
        <v>2034</v>
      </c>
      <c r="U91" s="37">
        <v>2035</v>
      </c>
    </row>
    <row r="92" spans="1:22" x14ac:dyDescent="0.25">
      <c r="A92" s="29" t="s">
        <v>51</v>
      </c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</row>
    <row r="93" spans="1:22" ht="38.25" x14ac:dyDescent="0.25">
      <c r="A93" s="30" t="s">
        <v>36</v>
      </c>
      <c r="B93" s="29" t="s">
        <v>56</v>
      </c>
      <c r="C93" s="29" t="s">
        <v>19</v>
      </c>
      <c r="D93" s="31">
        <f t="shared" ref="D93:U93" si="59">D87*D78*(1+D84)</f>
        <v>3605837.956410192</v>
      </c>
      <c r="E93" s="31">
        <f t="shared" si="59"/>
        <v>3689060.581526672</v>
      </c>
      <c r="F93" s="31">
        <f t="shared" si="59"/>
        <v>3785390.2254506843</v>
      </c>
      <c r="G93" s="31">
        <f t="shared" si="59"/>
        <v>3884219.0696135424</v>
      </c>
      <c r="H93" s="31">
        <f t="shared" si="59"/>
        <v>3985611.2839014288</v>
      </c>
      <c r="I93" s="31">
        <f t="shared" si="59"/>
        <v>4089632.6665702709</v>
      </c>
      <c r="J93" s="31">
        <f t="shared" si="59"/>
        <v>4196350.6850813683</v>
      </c>
      <c r="K93" s="31">
        <f t="shared" si="59"/>
        <v>4305921.7035352523</v>
      </c>
      <c r="L93" s="31">
        <f t="shared" si="59"/>
        <v>4418333.1305950163</v>
      </c>
      <c r="M93" s="31">
        <f t="shared" si="59"/>
        <v>4533657.8119491097</v>
      </c>
      <c r="N93" s="31">
        <f t="shared" si="59"/>
        <v>4651970.4394409731</v>
      </c>
      <c r="O93" s="31">
        <f t="shared" si="59"/>
        <v>4773442.3404215258</v>
      </c>
      <c r="P93" s="31">
        <f t="shared" si="59"/>
        <v>4898061.2749994257</v>
      </c>
      <c r="Q93" s="31">
        <f t="shared" si="59"/>
        <v>5025907.8808645466</v>
      </c>
      <c r="R93" s="31">
        <f t="shared" si="59"/>
        <v>5157064.8373070527</v>
      </c>
      <c r="S93" s="31">
        <f t="shared" si="59"/>
        <v>5291719.8720537713</v>
      </c>
      <c r="T93" s="31">
        <f t="shared" si="59"/>
        <v>5429861.2704919875</v>
      </c>
      <c r="U93" s="31">
        <f t="shared" si="59"/>
        <v>5571578.2845007572</v>
      </c>
      <c r="V93" s="9"/>
    </row>
    <row r="94" spans="1:22" ht="25.5" x14ac:dyDescent="0.25">
      <c r="A94" s="29" t="s">
        <v>37</v>
      </c>
      <c r="B94" s="29" t="s">
        <v>57</v>
      </c>
      <c r="C94" s="29" t="s">
        <v>19</v>
      </c>
      <c r="D94" s="31">
        <f t="shared" ref="D94:U94" si="60">D86*(1+D84)</f>
        <v>607799.99999999988</v>
      </c>
      <c r="E94" s="31">
        <f t="shared" si="60"/>
        <v>618740.39999999991</v>
      </c>
      <c r="F94" s="31">
        <f t="shared" si="60"/>
        <v>631733.94839999988</v>
      </c>
      <c r="G94" s="31">
        <f t="shared" si="60"/>
        <v>645000.36131639977</v>
      </c>
      <c r="H94" s="31">
        <f t="shared" si="60"/>
        <v>658545.36890404415</v>
      </c>
      <c r="I94" s="31">
        <f t="shared" si="60"/>
        <v>672374.82165102905</v>
      </c>
      <c r="J94" s="31">
        <f t="shared" si="60"/>
        <v>686494.69290570065</v>
      </c>
      <c r="K94" s="31">
        <f t="shared" si="60"/>
        <v>700911.08145672025</v>
      </c>
      <c r="L94" s="31">
        <f t="shared" si="60"/>
        <v>715630.21416731132</v>
      </c>
      <c r="M94" s="31">
        <f t="shared" si="60"/>
        <v>730658.44866482483</v>
      </c>
      <c r="N94" s="31">
        <f t="shared" si="60"/>
        <v>746002.27608678606</v>
      </c>
      <c r="O94" s="31">
        <f t="shared" si="60"/>
        <v>761668.32388460846</v>
      </c>
      <c r="P94" s="31">
        <f t="shared" si="60"/>
        <v>777663.35868618521</v>
      </c>
      <c r="Q94" s="31">
        <f t="shared" si="60"/>
        <v>793994.28921859502</v>
      </c>
      <c r="R94" s="31">
        <f t="shared" si="60"/>
        <v>810668.16929218546</v>
      </c>
      <c r="S94" s="31">
        <f t="shared" si="60"/>
        <v>827692.20084732131</v>
      </c>
      <c r="T94" s="31">
        <f t="shared" si="60"/>
        <v>845073.73706511501</v>
      </c>
      <c r="U94" s="31">
        <f t="shared" si="60"/>
        <v>862820.2855434824</v>
      </c>
      <c r="V94" s="9"/>
    </row>
    <row r="95" spans="1:22" ht="76.5" x14ac:dyDescent="0.25">
      <c r="A95" s="29" t="s">
        <v>38</v>
      </c>
      <c r="B95" s="29" t="s">
        <v>47</v>
      </c>
      <c r="C95" s="29" t="s">
        <v>19</v>
      </c>
      <c r="D95" s="31">
        <f t="shared" ref="D95:U95" si="61">D80*D77*D83*D85-D82*D77*D83*D85</f>
        <v>0</v>
      </c>
      <c r="E95" s="31">
        <f t="shared" si="61"/>
        <v>235348.92848700006</v>
      </c>
      <c r="F95" s="31">
        <f t="shared" si="61"/>
        <v>468652.28988270555</v>
      </c>
      <c r="G95" s="31">
        <f t="shared" si="61"/>
        <v>743257.41964133736</v>
      </c>
      <c r="H95" s="31">
        <f t="shared" si="61"/>
        <v>1083316.5045052562</v>
      </c>
      <c r="I95" s="31">
        <f t="shared" si="61"/>
        <v>1272635.1393412105</v>
      </c>
      <c r="J95" s="31">
        <f t="shared" si="61"/>
        <v>1320745.2789536999</v>
      </c>
      <c r="K95" s="31">
        <f t="shared" si="61"/>
        <v>1340913.8300502633</v>
      </c>
      <c r="L95" s="31">
        <f t="shared" si="61"/>
        <v>1361563.2059614398</v>
      </c>
      <c r="M95" s="31">
        <f t="shared" si="61"/>
        <v>1382205.1384608117</v>
      </c>
      <c r="N95" s="31">
        <f t="shared" si="61"/>
        <v>1403428.4210100023</v>
      </c>
      <c r="O95" s="31">
        <f t="shared" si="61"/>
        <v>1424980.1538990068</v>
      </c>
      <c r="P95" s="31">
        <f t="shared" si="61"/>
        <v>1446741.6342974785</v>
      </c>
      <c r="Q95" s="31">
        <f t="shared" si="61"/>
        <v>1468810.9193619704</v>
      </c>
      <c r="R95" s="31">
        <f t="shared" si="61"/>
        <v>1491390.1956625921</v>
      </c>
      <c r="S95" s="31">
        <f t="shared" si="61"/>
        <v>1514003.0848438861</v>
      </c>
      <c r="T95" s="31">
        <f t="shared" si="61"/>
        <v>1536936.6871343034</v>
      </c>
      <c r="U95" s="31">
        <f t="shared" si="61"/>
        <v>1618879.5035349946</v>
      </c>
      <c r="V95" s="36" t="s">
        <v>55</v>
      </c>
    </row>
    <row r="96" spans="1:22" ht="38.25" x14ac:dyDescent="0.25">
      <c r="A96" s="29" t="s">
        <v>39</v>
      </c>
      <c r="B96" s="29" t="s">
        <v>46</v>
      </c>
      <c r="C96" s="29" t="s">
        <v>19</v>
      </c>
      <c r="D96" s="31">
        <f t="shared" ref="D96:U96" si="62">D82*D78*D85*D83</f>
        <v>2236636.2598828487</v>
      </c>
      <c r="E96" s="31">
        <f t="shared" si="62"/>
        <v>2051551.0108618559</v>
      </c>
      <c r="F96" s="31">
        <f t="shared" si="62"/>
        <v>1874626.9130322181</v>
      </c>
      <c r="G96" s="31">
        <f t="shared" si="62"/>
        <v>1654813.7169090151</v>
      </c>
      <c r="H96" s="31">
        <f t="shared" si="62"/>
        <v>1367062.6818497039</v>
      </c>
      <c r="I96" s="31">
        <f t="shared" si="62"/>
        <v>1231808.9548083062</v>
      </c>
      <c r="J96" s="31">
        <f t="shared" si="62"/>
        <v>1241978.8591487699</v>
      </c>
      <c r="K96" s="31">
        <f t="shared" si="62"/>
        <v>1282277.18120139</v>
      </c>
      <c r="L96" s="31">
        <f t="shared" si="62"/>
        <v>1323550.5323162761</v>
      </c>
      <c r="M96" s="31">
        <f t="shared" si="62"/>
        <v>1366320.7873439137</v>
      </c>
      <c r="N96" s="31">
        <f t="shared" si="62"/>
        <v>1410212.0452698614</v>
      </c>
      <c r="O96" s="31">
        <f t="shared" si="62"/>
        <v>1455533.4944905799</v>
      </c>
      <c r="P96" s="31">
        <f t="shared" si="62"/>
        <v>1502174.7328252082</v>
      </c>
      <c r="Q96" s="31">
        <f t="shared" si="62"/>
        <v>1550274.4904213951</v>
      </c>
      <c r="R96" s="31">
        <f t="shared" si="62"/>
        <v>1600090.986808423</v>
      </c>
      <c r="S96" s="31">
        <f t="shared" si="62"/>
        <v>1650583.1822293086</v>
      </c>
      <c r="T96" s="31">
        <f t="shared" si="62"/>
        <v>1703262.076703808</v>
      </c>
      <c r="U96" s="31">
        <f t="shared" si="62"/>
        <v>1693811.9430991835</v>
      </c>
      <c r="V96" s="36"/>
    </row>
    <row r="97" spans="1:22" x14ac:dyDescent="0.25">
      <c r="A97" s="29" t="s">
        <v>40</v>
      </c>
      <c r="B97" s="29"/>
      <c r="C97" s="29" t="s">
        <v>19</v>
      </c>
      <c r="D97" s="32">
        <f>SUM(D93:D96)</f>
        <v>6450274.2162930407</v>
      </c>
      <c r="E97" s="32">
        <f>SUM(E93:E96)</f>
        <v>6594700.9208755279</v>
      </c>
      <c r="F97" s="32">
        <f t="shared" ref="F97:U97" si="63">SUM(F93:F96)</f>
        <v>6760403.3767656079</v>
      </c>
      <c r="G97" s="32">
        <f t="shared" si="63"/>
        <v>6927290.567480294</v>
      </c>
      <c r="H97" s="32">
        <f t="shared" si="63"/>
        <v>7094535.839160433</v>
      </c>
      <c r="I97" s="32">
        <f t="shared" si="63"/>
        <v>7266451.5823708158</v>
      </c>
      <c r="J97" s="32">
        <f t="shared" si="63"/>
        <v>7445569.516089539</v>
      </c>
      <c r="K97" s="32">
        <f t="shared" si="63"/>
        <v>7630023.7962436257</v>
      </c>
      <c r="L97" s="32">
        <f t="shared" si="63"/>
        <v>7819077.0830400428</v>
      </c>
      <c r="M97" s="32">
        <f t="shared" si="63"/>
        <v>8012842.18641866</v>
      </c>
      <c r="N97" s="32">
        <f t="shared" si="63"/>
        <v>8211613.1818076223</v>
      </c>
      <c r="O97" s="32">
        <f t="shared" si="63"/>
        <v>8415624.3126957212</v>
      </c>
      <c r="P97" s="32">
        <f t="shared" si="63"/>
        <v>8624641.0008082986</v>
      </c>
      <c r="Q97" s="32">
        <f t="shared" si="63"/>
        <v>8838987.579866508</v>
      </c>
      <c r="R97" s="32">
        <f t="shared" si="63"/>
        <v>9059214.1890702527</v>
      </c>
      <c r="S97" s="32">
        <f t="shared" si="63"/>
        <v>9283998.3399742879</v>
      </c>
      <c r="T97" s="32">
        <f t="shared" si="63"/>
        <v>9515133.7713952139</v>
      </c>
      <c r="U97" s="32">
        <f t="shared" si="63"/>
        <v>9747090.016678419</v>
      </c>
      <c r="V97" s="33">
        <f>SUM(D97:U97)</f>
        <v>143697471.47703391</v>
      </c>
    </row>
  </sheetData>
  <mergeCells count="75">
    <mergeCell ref="A1:C1"/>
    <mergeCell ref="B21:B22"/>
    <mergeCell ref="C21:C22"/>
    <mergeCell ref="D21:D22"/>
    <mergeCell ref="A7:C7"/>
    <mergeCell ref="A2:C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K91:K92"/>
    <mergeCell ref="L91:L92"/>
    <mergeCell ref="M91:M92"/>
    <mergeCell ref="N91:N92"/>
    <mergeCell ref="O21:O22"/>
    <mergeCell ref="F91:F92"/>
    <mergeCell ref="G91:G92"/>
    <mergeCell ref="H91:H92"/>
    <mergeCell ref="I91:I92"/>
    <mergeCell ref="J91:J92"/>
    <mergeCell ref="A69:C69"/>
    <mergeCell ref="B91:B92"/>
    <mergeCell ref="C91:C92"/>
    <mergeCell ref="D91:D92"/>
    <mergeCell ref="E91:E92"/>
    <mergeCell ref="B81:B82"/>
    <mergeCell ref="A70:C70"/>
    <mergeCell ref="A75:C75"/>
    <mergeCell ref="B79:B80"/>
    <mergeCell ref="O91:O92"/>
    <mergeCell ref="P91:P92"/>
    <mergeCell ref="Q91:Q92"/>
    <mergeCell ref="R91:R92"/>
    <mergeCell ref="S91:S92"/>
    <mergeCell ref="T91:T92"/>
    <mergeCell ref="U91:U92"/>
    <mergeCell ref="V86:V87"/>
    <mergeCell ref="V95:V96"/>
    <mergeCell ref="A31:C31"/>
    <mergeCell ref="A32:C32"/>
    <mergeCell ref="A37:C37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U51:U52"/>
    <mergeCell ref="V55:V56"/>
    <mergeCell ref="V16:V17"/>
    <mergeCell ref="P51:P52"/>
    <mergeCell ref="Q51:Q52"/>
    <mergeCell ref="R51:R52"/>
    <mergeCell ref="S51:S52"/>
    <mergeCell ref="T51:T52"/>
    <mergeCell ref="T21:T22"/>
    <mergeCell ref="U21:U22"/>
    <mergeCell ref="P21:P22"/>
    <mergeCell ref="Q21:Q22"/>
    <mergeCell ref="R21:R22"/>
    <mergeCell ref="S21:S2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 7 VO Osvetlenie Bratislava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2017-06-04T13:14:08Z</dcterms:modified>
</cp:coreProperties>
</file>